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0_0.bin" ContentType="application/vnd.openxmlformats-officedocument.oleObject"/>
  <Override PartName="/xl/embeddings/oleObject_10_1.bin" ContentType="application/vnd.openxmlformats-officedocument.oleObject"/>
  <Override PartName="/xl/embeddings/oleObject_10_2.bin" ContentType="application/vnd.openxmlformats-officedocument.oleObject"/>
  <Override PartName="/xl/embeddings/oleObject_10_3.bin" ContentType="application/vnd.openxmlformats-officedocument.oleObject"/>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0" windowWidth="14355" windowHeight="4650" tabRatio="597" firstSheet="2" activeTab="2"/>
  </bookViews>
  <sheets>
    <sheet name="Instructions" sheetId="1" r:id="rId1"/>
    <sheet name="Start Page" sheetId="2" r:id="rId2"/>
    <sheet name="AF model" sheetId="3" r:id="rId3"/>
    <sheet name="RF model" sheetId="4" r:id="rId4"/>
    <sheet name="AC model" sheetId="5" r:id="rId5"/>
    <sheet name="MCC Model " sheetId="6" r:id="rId6"/>
    <sheet name="Result Page" sheetId="7" r:id="rId7"/>
    <sheet name="Update Inflation" sheetId="8" r:id="rId8"/>
    <sheet name="AF Workings" sheetId="9" r:id="rId9"/>
    <sheet name="RF Workings" sheetId="10" r:id="rId10"/>
    <sheet name="MCC Example" sheetId="11" r:id="rId11"/>
    <sheet name="PTE" sheetId="12" state="hidden" r:id="rId12"/>
    <sheet name="Non-PTE" sheetId="13" state="hidden" r:id="rId13"/>
  </sheets>
  <definedNames>
    <definedName name="AFCALC">'AF Workings'!$B$74:$B$76</definedName>
    <definedName name="AREA">'RF Workings'!$E$16:$E$17</definedName>
    <definedName name="Gentrips">#REF!</definedName>
    <definedName name="IntVar">'RF Workings'!$E$21:$E$22</definedName>
    <definedName name="LocVar">'RF Workings'!$L$780:$L$781</definedName>
    <definedName name="mccapply">#REF!</definedName>
    <definedName name="MOCLocal">#REF!</definedName>
    <definedName name="Mohring">#REF!</definedName>
    <definedName name="MVO">#REF!</definedName>
    <definedName name="_xlnm.Print_Area" localSheetId="4">'AC model'!$A$26:$E$26</definedName>
    <definedName name="route">#REF!</definedName>
    <definedName name="solver_adj" localSheetId="12" hidden="1">'Non-PTE'!$B$7</definedName>
    <definedName name="solver_adj" localSheetId="11" hidden="1">'PTE'!$B$7</definedName>
    <definedName name="solver_cvg" localSheetId="12" hidden="1">0.0001</definedName>
    <definedName name="solver_cvg" localSheetId="11" hidden="1">0.0001</definedName>
    <definedName name="solver_drv" localSheetId="12" hidden="1">1</definedName>
    <definedName name="solver_drv" localSheetId="11" hidden="1">1</definedName>
    <definedName name="solver_est" localSheetId="12" hidden="1">1</definedName>
    <definedName name="solver_est" localSheetId="11" hidden="1">1</definedName>
    <definedName name="solver_itr" localSheetId="12" hidden="1">100</definedName>
    <definedName name="solver_itr" localSheetId="11" hidden="1">100</definedName>
    <definedName name="solver_lhs1" localSheetId="12" hidden="1">'Non-PTE'!$C$27</definedName>
    <definedName name="solver_lhs1" localSheetId="11" hidden="1">'PTE'!$C$40</definedName>
    <definedName name="solver_lhs2" localSheetId="12" hidden="1">'Non-PTE'!$G$26</definedName>
    <definedName name="solver_lhs2" localSheetId="11" hidden="1">'PTE'!$G$26</definedName>
    <definedName name="solver_lin" localSheetId="12" hidden="1">2</definedName>
    <definedName name="solver_lin" localSheetId="11" hidden="1">2</definedName>
    <definedName name="solver_neg" localSheetId="12" hidden="1">2</definedName>
    <definedName name="solver_neg" localSheetId="11" hidden="1">2</definedName>
    <definedName name="solver_num" localSheetId="12" hidden="1">0</definedName>
    <definedName name="solver_num" localSheetId="11" hidden="1">0</definedName>
    <definedName name="solver_nwt" localSheetId="12" hidden="1">1</definedName>
    <definedName name="solver_nwt" localSheetId="11" hidden="1">1</definedName>
    <definedName name="solver_opt" localSheetId="12" hidden="1">'Non-PTE'!$C$27</definedName>
    <definedName name="solver_opt" localSheetId="11" hidden="1">'PTE'!$C$27</definedName>
    <definedName name="solver_pre" localSheetId="12" hidden="1">0.000001</definedName>
    <definedName name="solver_pre" localSheetId="11" hidden="1">0.000001</definedName>
    <definedName name="solver_rel1" localSheetId="12" hidden="1">2</definedName>
    <definedName name="solver_rel1" localSheetId="11" hidden="1">2</definedName>
    <definedName name="solver_rel2" localSheetId="12" hidden="1">2</definedName>
    <definedName name="solver_rel2" localSheetId="11" hidden="1">2</definedName>
    <definedName name="solver_rhs1" localSheetId="12" hidden="1">0</definedName>
    <definedName name="solver_rhs1" localSheetId="11" hidden="1">'PTE'!$C$2</definedName>
    <definedName name="solver_rhs2" localSheetId="12" hidden="1">'Non-PTE'!$F$26</definedName>
    <definedName name="solver_rhs2" localSheetId="11" hidden="1">'PTE'!$F$26</definedName>
    <definedName name="solver_scl" localSheetId="12" hidden="1">2</definedName>
    <definedName name="solver_scl" localSheetId="11" hidden="1">2</definedName>
    <definedName name="solver_sho" localSheetId="12" hidden="1">2</definedName>
    <definedName name="solver_sho" localSheetId="11" hidden="1">2</definedName>
    <definedName name="solver_tim" localSheetId="12" hidden="1">100</definedName>
    <definedName name="solver_tim" localSheetId="11" hidden="1">100</definedName>
    <definedName name="solver_tol" localSheetId="12" hidden="1">0.05</definedName>
    <definedName name="solver_tol" localSheetId="11" hidden="1">0.05</definedName>
    <definedName name="solver_typ" localSheetId="12" hidden="1">3</definedName>
    <definedName name="solver_typ" localSheetId="11" hidden="1">3</definedName>
    <definedName name="solver_val" localSheetId="12" hidden="1">0</definedName>
    <definedName name="solver_val" localSheetId="11" hidden="1">0</definedName>
    <definedName name="Speed">#REF!</definedName>
    <definedName name="speed1">'MCC Model '!$J$11</definedName>
    <definedName name="speed2">'MCC Model '!$J$5:$J$6</definedName>
    <definedName name="trip">'MCC Example'!$C$168:$C$169</definedName>
    <definedName name="VaryMOC">#REF!</definedName>
    <definedName name="Year">'AC model'!$D$3</definedName>
    <definedName name="Year1">#REF!</definedName>
    <definedName name="Year3">'RF Workings'!$E$3:$E$12</definedName>
    <definedName name="year4">'RF Workings'!$E$7:$E$12</definedName>
    <definedName name="Yes">'MCC Example'!$C$171:$C$172</definedName>
  </definedNames>
  <calcPr fullCalcOnLoad="1"/>
</workbook>
</file>

<file path=xl/sharedStrings.xml><?xml version="1.0" encoding="utf-8"?>
<sst xmlns="http://schemas.openxmlformats.org/spreadsheetml/2006/main" count="1343" uniqueCount="530">
  <si>
    <t>IMPLIED ELAST AT FARE=1 (2005/6)</t>
  </si>
  <si>
    <t>OLD PASSHOLDER DEMAND</t>
  </si>
  <si>
    <t>Fare Index</t>
  </si>
  <si>
    <t>Deflation Factor</t>
  </si>
  <si>
    <t>2005/6</t>
  </si>
  <si>
    <t>2006/7</t>
  </si>
  <si>
    <t>2007/8</t>
  </si>
  <si>
    <t>2008/9</t>
  </si>
  <si>
    <t>2009/10</t>
  </si>
  <si>
    <t>2010/11</t>
  </si>
  <si>
    <t>Area Type</t>
  </si>
  <si>
    <t xml:space="preserve">PTE </t>
  </si>
  <si>
    <t>Non-PTE</t>
  </si>
  <si>
    <t>2011/12</t>
  </si>
  <si>
    <t>2012/13</t>
  </si>
  <si>
    <t>2013/14</t>
  </si>
  <si>
    <t>Reimbursement Factor</t>
  </si>
  <si>
    <t>Use Default</t>
  </si>
  <si>
    <r>
      <t xml:space="preserve">To obtain up to date GDP deflators follow: </t>
    </r>
    <r>
      <rPr>
        <sz val="11"/>
        <color indexed="12"/>
        <rFont val="Calibri"/>
        <family val="2"/>
      </rPr>
      <t>https://www.gov.uk/government/publications/gdp-deflators-at-market-prices-and-money-gdp-march-2013</t>
    </r>
  </si>
  <si>
    <t>Enter updated GDP/CPI values in C22:D24</t>
  </si>
  <si>
    <t>PTE</t>
  </si>
  <si>
    <t>Additional Costs</t>
  </si>
  <si>
    <t>Mean vehicle occupancy</t>
  </si>
  <si>
    <t>buses/hr</t>
  </si>
  <si>
    <t>Δveh hrs</t>
  </si>
  <si>
    <t>Mohring Power</t>
  </si>
  <si>
    <t>Area</t>
  </si>
  <si>
    <t>Year of Calculation</t>
  </si>
  <si>
    <t>Local Variations</t>
  </si>
  <si>
    <t>Yes</t>
  </si>
  <si>
    <t>No</t>
  </si>
  <si>
    <t>Price ratio</t>
  </si>
  <si>
    <t>Discount factor</t>
  </si>
  <si>
    <t>(2) Interpolation</t>
  </si>
  <si>
    <t>(3) Average fare</t>
  </si>
  <si>
    <t>Input values</t>
  </si>
  <si>
    <t xml:space="preserve">Interpolation </t>
  </si>
  <si>
    <t>Lower band</t>
  </si>
  <si>
    <t>Upper band</t>
  </si>
  <si>
    <t>Factor</t>
  </si>
  <si>
    <t>Int'lated value</t>
  </si>
  <si>
    <t>Weekly ticket price</t>
  </si>
  <si>
    <t xml:space="preserve">Daily Ticket Price </t>
  </si>
  <si>
    <t>Daily</t>
  </si>
  <si>
    <t>Weekly</t>
  </si>
  <si>
    <t>Weekly Tickets</t>
  </si>
  <si>
    <t>Price per ticket</t>
  </si>
  <si>
    <t>Daily Tickets</t>
  </si>
  <si>
    <t>Tickets sold (from Look Up Table)</t>
  </si>
  <si>
    <t>Total</t>
  </si>
  <si>
    <t>Column offset</t>
  </si>
  <si>
    <t>Average Fare Foregone</t>
  </si>
  <si>
    <t xml:space="preserve">Total Reimbursement </t>
  </si>
  <si>
    <t xml:space="preserve">Average cash fare </t>
  </si>
  <si>
    <t>Discount Factor Method</t>
  </si>
  <si>
    <t>Basket of Fares Method</t>
  </si>
  <si>
    <t>Type of ticket</t>
  </si>
  <si>
    <t>Price £</t>
  </si>
  <si>
    <t>Weighted revenue per ticket</t>
  </si>
  <si>
    <t>&lt;Insert ticket type here&gt;</t>
  </si>
  <si>
    <t>Weighted Average Fare:</t>
  </si>
  <si>
    <t>Average</t>
  </si>
  <si>
    <t>Year</t>
  </si>
  <si>
    <t>Discounted Average Fare</t>
  </si>
  <si>
    <t>Peak Vehicle Requirement Costs</t>
  </si>
  <si>
    <t>(4) Degenerate price ratio</t>
  </si>
  <si>
    <t>(5) Interpolation</t>
  </si>
  <si>
    <t>Ticket prices (£)</t>
  </si>
  <si>
    <t>Reimbursement Factor Calculator</t>
  </si>
  <si>
    <t>Additional Costs Calculator</t>
  </si>
  <si>
    <t>Discount factor before degeneration</t>
  </si>
  <si>
    <t>Fare from Average Fare Model</t>
  </si>
  <si>
    <t>λ</t>
  </si>
  <si>
    <t>β</t>
  </si>
  <si>
    <t>Constant k</t>
  </si>
  <si>
    <t>Single Demand Curve Parameters</t>
  </si>
  <si>
    <t>Half/Flat Fare index in £2005/6</t>
  </si>
  <si>
    <t>Fare elasticity at £1 (2005/6)</t>
  </si>
  <si>
    <t>Total Reimbursement for Additional Costs</t>
  </si>
  <si>
    <t>Start Page</t>
  </si>
  <si>
    <t>Introduction</t>
  </si>
  <si>
    <t xml:space="preserve">   passengers per bus miles</t>
  </si>
  <si>
    <t xml:space="preserve">   miles</t>
  </si>
  <si>
    <t xml:space="preserve">   buses/hr</t>
  </si>
  <si>
    <t>Mean Journey Length</t>
  </si>
  <si>
    <t>Total Concessionary Journeys</t>
  </si>
  <si>
    <t>Cost/Vehicle Hour (£)</t>
  </si>
  <si>
    <t>Cost/Vehicle Mile (£)</t>
  </si>
  <si>
    <t>Mean vehicle occupancy (passengers per bus mile)</t>
  </si>
  <si>
    <t>Mean Journey Length (miles)</t>
  </si>
  <si>
    <t>Mean route length (miles)</t>
  </si>
  <si>
    <t>Average commercial fare (£)</t>
  </si>
  <si>
    <t>Net additional capacity cost per generated passenger journey</t>
  </si>
  <si>
    <t>Net additional capacity cost per generated passenger journey (£)</t>
  </si>
  <si>
    <t xml:space="preserve">   miles per hour</t>
  </si>
  <si>
    <t>£ per additional passenger journey</t>
  </si>
  <si>
    <t>Total additional capacity cost per generated passenger journey excluding any effect on the PVR</t>
  </si>
  <si>
    <t xml:space="preserve">User input          </t>
  </si>
  <si>
    <r>
      <t xml:space="preserve">This Calculator is subdivided into </t>
    </r>
    <r>
      <rPr>
        <b/>
        <sz val="11"/>
        <color indexed="8"/>
        <rFont val="Calibri"/>
        <family val="2"/>
      </rPr>
      <t>7 separate worksheets</t>
    </r>
    <r>
      <rPr>
        <sz val="11"/>
        <color indexed="8"/>
        <rFont val="Calibri"/>
        <family val="2"/>
      </rPr>
      <t xml:space="preserve">. The </t>
    </r>
    <r>
      <rPr>
        <b/>
        <sz val="11"/>
        <color indexed="8"/>
        <rFont val="Calibri"/>
        <family val="2"/>
      </rPr>
      <t>Start Page</t>
    </r>
    <r>
      <rPr>
        <sz val="11"/>
        <color indexed="8"/>
        <rFont val="Calibri"/>
        <family val="2"/>
      </rPr>
      <t xml:space="preserve">, the </t>
    </r>
    <r>
      <rPr>
        <b/>
        <sz val="11"/>
        <color indexed="8"/>
        <rFont val="Calibri"/>
        <family val="2"/>
      </rPr>
      <t>Average Fares (AF) Model</t>
    </r>
    <r>
      <rPr>
        <sz val="11"/>
        <color indexed="8"/>
        <rFont val="Calibri"/>
        <family val="2"/>
      </rPr>
      <t xml:space="preserve">, the </t>
    </r>
    <r>
      <rPr>
        <b/>
        <sz val="11"/>
        <color indexed="8"/>
        <rFont val="Calibri"/>
        <family val="2"/>
      </rPr>
      <t>Reimbursement Factor (RF) Model</t>
    </r>
    <r>
      <rPr>
        <sz val="11"/>
        <color indexed="8"/>
        <rFont val="Calibri"/>
        <family val="2"/>
      </rPr>
      <t>, the</t>
    </r>
    <r>
      <rPr>
        <b/>
        <sz val="11"/>
        <color indexed="8"/>
        <rFont val="Calibri"/>
        <family val="2"/>
      </rPr>
      <t xml:space="preserve"> Additional Costs (AC) Model</t>
    </r>
    <r>
      <rPr>
        <sz val="11"/>
        <color indexed="8"/>
        <rFont val="Calibri"/>
        <family val="2"/>
      </rPr>
      <t xml:space="preserve">, the </t>
    </r>
    <r>
      <rPr>
        <b/>
        <sz val="11"/>
        <color indexed="8"/>
        <rFont val="Calibri"/>
        <family val="2"/>
      </rPr>
      <t>Marginal Capacity Cost Model (MCC)</t>
    </r>
    <r>
      <rPr>
        <sz val="11"/>
        <color indexed="8"/>
        <rFont val="Calibri"/>
        <family val="2"/>
      </rPr>
      <t xml:space="preserve"> and the </t>
    </r>
    <r>
      <rPr>
        <b/>
        <sz val="11"/>
        <color indexed="8"/>
        <rFont val="Calibri"/>
        <family val="2"/>
      </rPr>
      <t>Results Page</t>
    </r>
    <r>
      <rPr>
        <sz val="11"/>
        <color indexed="8"/>
        <rFont val="Calibri"/>
        <family val="2"/>
      </rPr>
      <t>. The '</t>
    </r>
    <r>
      <rPr>
        <b/>
        <sz val="11"/>
        <color indexed="8"/>
        <rFont val="Calibri"/>
        <family val="2"/>
      </rPr>
      <t xml:space="preserve">Update Inflation' </t>
    </r>
    <r>
      <rPr>
        <sz val="11"/>
        <color indexed="8"/>
        <rFont val="Calibri"/>
        <family val="2"/>
      </rPr>
      <t xml:space="preserve">sheet allows users to update the CPI Index and GDP Deflator. The steps within each of these worksheets are described below. </t>
    </r>
    <r>
      <rPr>
        <b/>
        <sz val="11"/>
        <color indexed="8"/>
        <rFont val="Calibri"/>
        <family val="2"/>
      </rPr>
      <t>Additional hidden worksheets</t>
    </r>
    <r>
      <rPr>
        <sz val="11"/>
        <color indexed="8"/>
        <rFont val="Calibri"/>
        <family val="2"/>
      </rPr>
      <t xml:space="preserve"> contain the detailed calculations underpinning the calculations for Average Fares and the Reimbursement Factor. All Additional Costs calculations are done in the model sheets. A worked example for MCC costs is provided in 'MCC example' and the 'PTE' and 'Non-PTE' sheets show the derivation of the Single Demand Curve. </t>
    </r>
    <r>
      <rPr>
        <b/>
        <sz val="11"/>
        <color indexed="10"/>
        <rFont val="Calibri"/>
        <family val="2"/>
      </rPr>
      <t>Hidden sheets can be 'unhidden' by going to Format\Sheet\Unhide</t>
    </r>
    <r>
      <rPr>
        <sz val="11"/>
        <color indexed="8"/>
        <rFont val="Calibri"/>
        <family val="2"/>
      </rPr>
      <t>. Some worksheets or cells may be protected to prevent overwriting formulae by mistake. A worksheet can be unprotected by going into Tools\Protection\Unprotect Sheet. Annex H of the guidance includes some worked examples based on this Calculator.</t>
    </r>
  </si>
  <si>
    <t>Percentage change in operator specific nominal fares between 2010/11 and current reimbursement period</t>
  </si>
  <si>
    <t>Operator specific change in nominal fares deflator between 2010/11 and current reimbursement period</t>
  </si>
  <si>
    <t>Marginal Operating Cost per generated journey</t>
  </si>
  <si>
    <t>Marginal Capacity Costs</t>
  </si>
  <si>
    <t xml:space="preserve">Calculation or DfT assumption that cannot be overwritten          </t>
  </si>
  <si>
    <t>Change in commercial journeys</t>
  </si>
  <si>
    <t>Net of marginal costs of commercial journeys generated by the service elasticity</t>
  </si>
  <si>
    <t>Default value</t>
  </si>
  <si>
    <t>Local</t>
  </si>
  <si>
    <r>
      <t>Χ</t>
    </r>
    <r>
      <rPr>
        <i/>
        <sz val="12"/>
        <color indexed="8"/>
        <rFont val="Calibri"/>
        <family val="2"/>
      </rPr>
      <t xml:space="preserve"> is frequency</t>
    </r>
  </si>
  <si>
    <t>M is mean passenger journey length</t>
  </si>
  <si>
    <t>implying commercial journeys</t>
  </si>
  <si>
    <t>Change in commercial journeys (from increased frequency)</t>
  </si>
  <si>
    <t>Gross additional cost per generated passenger journey</t>
  </si>
  <si>
    <t>The Discount Factor Method</t>
  </si>
  <si>
    <t>Reimbursement Calculator</t>
  </si>
  <si>
    <t>Reimbursement Period</t>
  </si>
  <si>
    <t>Commercial Journeys as a % of Total</t>
  </si>
  <si>
    <t>Index of observed trips at half/flat fare (excluding abstraction)</t>
  </si>
  <si>
    <t>Index of trips at half/flat fare (including abstraction)</t>
  </si>
  <si>
    <t xml:space="preserve">Output (Intermediate/Final)          </t>
  </si>
  <si>
    <r>
      <t xml:space="preserve">Choose the suitable </t>
    </r>
    <r>
      <rPr>
        <b/>
        <sz val="11"/>
        <color indexed="8"/>
        <rFont val="Calibri"/>
        <family val="2"/>
      </rPr>
      <t>area type</t>
    </r>
    <r>
      <rPr>
        <sz val="11"/>
        <color indexed="8"/>
        <rFont val="Calibri"/>
        <family val="2"/>
      </rPr>
      <t xml:space="preserve"> (PTE or Non PTE).</t>
    </r>
  </si>
  <si>
    <r>
      <t>Choose the suitable period/</t>
    </r>
    <r>
      <rPr>
        <b/>
        <sz val="11"/>
        <color indexed="8"/>
        <rFont val="Calibri"/>
        <family val="2"/>
      </rPr>
      <t>year</t>
    </r>
    <r>
      <rPr>
        <sz val="11"/>
        <color indexed="8"/>
        <rFont val="Calibri"/>
        <family val="2"/>
      </rPr>
      <t xml:space="preserve"> for which reimbursement is being calculated.</t>
    </r>
  </si>
  <si>
    <r>
      <t xml:space="preserve">Enter the number of observed </t>
    </r>
    <r>
      <rPr>
        <b/>
        <sz val="11"/>
        <color indexed="8"/>
        <rFont val="Calibri"/>
        <family val="2"/>
      </rPr>
      <t>concessionary journeys</t>
    </r>
    <r>
      <rPr>
        <sz val="11"/>
        <color indexed="8"/>
        <rFont val="Calibri"/>
        <family val="2"/>
      </rPr>
      <t xml:space="preserve"> in the relevant period/year.</t>
    </r>
  </si>
  <si>
    <r>
      <t xml:space="preserve">Enter the </t>
    </r>
    <r>
      <rPr>
        <b/>
        <sz val="11"/>
        <color indexed="8"/>
        <rFont val="Calibri"/>
        <family val="2"/>
      </rPr>
      <t xml:space="preserve">average cash fare </t>
    </r>
    <r>
      <rPr>
        <sz val="11"/>
        <color indexed="8"/>
        <rFont val="Calibri"/>
        <family val="2"/>
      </rPr>
      <t>for the calculation period.</t>
    </r>
  </si>
  <si>
    <r>
      <t>Enter the a</t>
    </r>
    <r>
      <rPr>
        <b/>
        <sz val="11"/>
        <color indexed="8"/>
        <rFont val="Calibri"/>
        <family val="2"/>
      </rPr>
      <t>verage daily fare</t>
    </r>
    <r>
      <rPr>
        <sz val="11"/>
        <color indexed="8"/>
        <rFont val="Calibri"/>
        <family val="2"/>
      </rPr>
      <t xml:space="preserve"> for the calculation period. If there are no daily tickets available, click on button 'No daily tickets' and the Calculator will automatically derive allocations based on cash fares and weekly tickets.</t>
    </r>
  </si>
  <si>
    <r>
      <t>Discount factor before degeneration</t>
    </r>
    <r>
      <rPr>
        <sz val="11"/>
        <color indexed="8"/>
        <rFont val="Calibri"/>
        <family val="2"/>
      </rPr>
      <t>: This is the discount factor at zero fares.</t>
    </r>
  </si>
  <si>
    <r>
      <t>FINAL discount factor after degeneration</t>
    </r>
    <r>
      <rPr>
        <sz val="11"/>
        <color indexed="8"/>
        <rFont val="Calibri"/>
        <family val="2"/>
      </rPr>
      <t>: This is the discount factor at full fares.</t>
    </r>
  </si>
  <si>
    <r>
      <t>Discounted average fare (forgone)</t>
    </r>
    <r>
      <rPr>
        <sz val="11"/>
        <color indexed="8"/>
        <rFont val="Calibri"/>
        <family val="2"/>
      </rPr>
      <t>: this is the average cash fare discounted by the discount factor.</t>
    </r>
  </si>
  <si>
    <r>
      <t xml:space="preserve">This table shows the </t>
    </r>
    <r>
      <rPr>
        <b/>
        <sz val="11"/>
        <color indexed="8"/>
        <rFont val="Calibri"/>
        <family val="2"/>
      </rPr>
      <t>final allocation of ticket types</t>
    </r>
    <r>
      <rPr>
        <sz val="11"/>
        <color indexed="8"/>
        <rFont val="Calibri"/>
        <family val="2"/>
      </rPr>
      <t>. If, the proportion of daily or period ticket to cash fare ticket sales is higher for concessionary passengers than current fare paying passengers, the discount method may not be appropriate.</t>
    </r>
  </si>
  <si>
    <r>
      <t>Type of Ticket</t>
    </r>
    <r>
      <rPr>
        <sz val="11"/>
        <color indexed="8"/>
        <rFont val="Calibri"/>
        <family val="2"/>
      </rPr>
      <t>: Enter all the ticket types that would have been purchased by concessionary passholders in the absence of the scheme. Operators or survey evidence will be helpful in deciding which tickets to include.</t>
    </r>
  </si>
  <si>
    <r>
      <t>Price £</t>
    </r>
    <r>
      <rPr>
        <sz val="11"/>
        <color indexed="8"/>
        <rFont val="Calibri"/>
        <family val="2"/>
      </rPr>
      <t>: Enter the respective commercial price of each type of ticket that would have been purchased by concessionary passholders in the absence of the scheme.</t>
    </r>
  </si>
  <si>
    <r>
      <t>Assumed journeys per ticket purchased</t>
    </r>
    <r>
      <rPr>
        <sz val="11"/>
        <color indexed="8"/>
        <rFont val="Calibri"/>
        <family val="2"/>
      </rPr>
      <t>: Enter assumed number of journeys typically made by holders of each ticket type. Although this is reasonably obvious for single and return tickets, it requires some judgements to be made on the use of pass-type tickets. Again hard evidence from operators or surveys will be helpful in deciding what assumptions to make here.</t>
    </r>
  </si>
  <si>
    <r>
      <t>Implied Revenue per journey £</t>
    </r>
    <r>
      <rPr>
        <sz val="11"/>
        <color indexed="8"/>
        <rFont val="Calibri"/>
        <family val="2"/>
      </rPr>
      <t>: This is the ticket price for each ticket type divided by the number of journeys typically made by concessionary passholders.</t>
    </r>
  </si>
  <si>
    <r>
      <t>% of total journeys with this ticket type</t>
    </r>
    <r>
      <rPr>
        <sz val="11"/>
        <color indexed="8"/>
        <rFont val="Calibri"/>
        <family val="2"/>
      </rPr>
      <t>: Assumed proportion of total journeys that are made by eligible concessionaires in the absence of the scheme using each type of ticket. These must add up to 100 per cent.</t>
    </r>
  </si>
  <si>
    <r>
      <t>Weighted Revenue per Ticket</t>
    </r>
    <r>
      <rPr>
        <sz val="11"/>
        <color indexed="8"/>
        <rFont val="Calibri"/>
        <family val="2"/>
      </rPr>
      <t>: This is the implied revenue per journey multiplied by the percentage share of journeys made with each ticket type.</t>
    </r>
  </si>
  <si>
    <r>
      <t>Weighted Average Fare</t>
    </r>
    <r>
      <rPr>
        <sz val="11"/>
        <color indexed="8"/>
        <rFont val="Calibri"/>
        <family val="2"/>
      </rPr>
      <t>: This is the average fare forgone calculated under the basket of fares method.</t>
    </r>
  </si>
  <si>
    <r>
      <t>Average Fare Forgone</t>
    </r>
    <r>
      <rPr>
        <sz val="11"/>
        <color indexed="8"/>
        <rFont val="Calibri"/>
        <family val="2"/>
      </rPr>
      <t>: This cell displays the final average fare forgone to be used in the calculation of the appropriate reimbursement factor based on the chosen method of calculation.</t>
    </r>
  </si>
  <si>
    <r>
      <t>Reimbursement Factor Calculator:</t>
    </r>
    <r>
      <rPr>
        <sz val="11"/>
        <color indexed="8"/>
        <rFont val="Calibri"/>
        <family val="2"/>
      </rPr>
      <t xml:space="preserve"> The reimbursement factor is the proportion of total concessionary journeys made at zero fare that are estimated to be made if the concessionaires were to pay full fare. The reimbursement rate is calculated based on the appropriate demand curve and the change in the average fare foregone calculated in the AF Worksheet.</t>
    </r>
  </si>
  <si>
    <r>
      <t>Area Type:</t>
    </r>
    <r>
      <rPr>
        <sz val="11"/>
        <color indexed="8"/>
        <rFont val="Calibri"/>
        <family val="2"/>
      </rPr>
      <t xml:space="preserve"> Displays the relevant area type (PTE or Non-PTE) that was chosen in the Start Page. </t>
    </r>
  </si>
  <si>
    <r>
      <t>Year</t>
    </r>
    <r>
      <rPr>
        <sz val="11"/>
        <color indexed="8"/>
        <rFont val="Calibri"/>
        <family val="2"/>
      </rPr>
      <t>: Displays the relevant period for which reimbursement is being calculated as chosen in the Start Page.</t>
    </r>
  </si>
  <si>
    <r>
      <t>Current Average Fare</t>
    </r>
    <r>
      <rPr>
        <sz val="11"/>
        <color indexed="8"/>
        <rFont val="Calibri"/>
        <family val="2"/>
      </rPr>
      <t>: Displays the average fare forgone for the period for which reimbursement is being calculated in the Average Fare Calculator.</t>
    </r>
  </si>
  <si>
    <r>
      <t>Reimbursement Factor</t>
    </r>
    <r>
      <rPr>
        <sz val="11"/>
        <color indexed="8"/>
        <rFont val="Calibri"/>
        <family val="2"/>
      </rPr>
      <t>: Generates the reimbursement factor from the single demand curve for the area type and average fare forgone based on the changes in local fares (PTE or non-PTE)</t>
    </r>
  </si>
  <si>
    <r>
      <t>Option (1) - Percentage change in the operator specific nominal fares between 2005/06 and the period for which reimbursement is being calculated</t>
    </r>
    <r>
      <rPr>
        <sz val="11"/>
        <color indexed="8"/>
        <rFont val="Calibri"/>
        <family val="2"/>
      </rPr>
      <t xml:space="preserve">: This is estimated from comparable operator fare data, and is a nominal change. It is entered as a percentage. </t>
    </r>
  </si>
  <si>
    <r>
      <t>Option (2) - TCA-wide change in nominal average fares</t>
    </r>
    <r>
      <rPr>
        <sz val="11"/>
        <color indexed="8"/>
        <rFont val="Calibri"/>
        <family val="2"/>
      </rPr>
      <t>. Two data items need to be entered: the change in TCA-wide nominal fares from 2005/06 to 2010/11 and from 2010/11 to the reimbursement period (for reimbursement periods beyond 2010/11) the change in the operator-specific nominal fares.</t>
    </r>
  </si>
  <si>
    <r>
      <t>Enter operator specific change in nominal fare between 2010/11 and current reimbursement period</t>
    </r>
    <r>
      <rPr>
        <sz val="11"/>
        <color indexed="8"/>
        <rFont val="Calibri"/>
        <family val="2"/>
      </rPr>
      <t xml:space="preserve"> (if reimbursement is calculated in latter years). This is the percentage change in the operator specific fare for comparable operator fare data, and is a nominal change. It is entered as a percentage. </t>
    </r>
  </si>
  <si>
    <r>
      <t>Percentage change in operator specific nominal fare 2010/11 and current reimbursement period</t>
    </r>
    <r>
      <rPr>
        <sz val="11"/>
        <color indexed="8"/>
        <rFont val="Calibri"/>
        <family val="2"/>
      </rPr>
      <t xml:space="preserve">. This is the percentage change in the operator specific fare for comparable operator fare data, and is a nominal change. It is entered as a percentage. </t>
    </r>
  </si>
  <si>
    <r>
      <t>New operator</t>
    </r>
    <r>
      <rPr>
        <sz val="11"/>
        <color indexed="8"/>
        <rFont val="Calibri"/>
        <family val="2"/>
      </rPr>
      <t xml:space="preserve">: This is the section for operators who are new or who have had significantly changed services since 2010/11. </t>
    </r>
  </si>
  <si>
    <r>
      <t>Enter TCA wide change in nominal fare between 2005/06 and current reimbursement period</t>
    </r>
    <r>
      <rPr>
        <sz val="11"/>
        <color indexed="8"/>
        <rFont val="Calibri"/>
        <family val="2"/>
      </rPr>
      <t>: This is the percentage change in the TCA average fare between 2005/06 and current reimbursement period in nominal terms. It is entered as a percentage.</t>
    </r>
  </si>
  <si>
    <r>
      <t>Enter TCA-wide change in nominal fare between 2005/06 and 2010/1</t>
    </r>
    <r>
      <rPr>
        <b/>
        <sz val="11"/>
        <color indexed="8"/>
        <rFont val="Calibri"/>
        <family val="2"/>
      </rPr>
      <t>1</t>
    </r>
    <r>
      <rPr>
        <sz val="11"/>
        <color indexed="8"/>
        <rFont val="Calibri"/>
        <family val="2"/>
      </rPr>
      <t xml:space="preserve">. This is the percentage change in the TCA average fare between 2005/06 and 2010/11 in nominal terms. It is entered as a percentage. </t>
    </r>
  </si>
  <si>
    <r>
      <t xml:space="preserve">Additional costs include up to </t>
    </r>
    <r>
      <rPr>
        <b/>
        <sz val="11"/>
        <color indexed="8"/>
        <rFont val="Calibri"/>
        <family val="2"/>
      </rPr>
      <t>4 distinct elements</t>
    </r>
    <r>
      <rPr>
        <sz val="11"/>
        <color indexed="8"/>
        <rFont val="Calibri"/>
        <family val="2"/>
      </rPr>
      <t xml:space="preserve">. These are scheme administration costs, marginal operating costs (MOCs) marginal capacity costs (MCCs) and Peak Vehicle Requirement (PVR). </t>
    </r>
  </si>
  <si>
    <r>
      <t>Reimbursement Period and Area Type</t>
    </r>
    <r>
      <rPr>
        <sz val="11"/>
        <color indexed="8"/>
        <rFont val="Calibri"/>
        <family val="2"/>
      </rPr>
      <t>: Displays the reimbursement period and area type chosen in the Start Page</t>
    </r>
  </si>
  <si>
    <r>
      <t>Administration costs a</t>
    </r>
    <r>
      <rPr>
        <sz val="11"/>
        <color indexed="8"/>
        <rFont val="Calibri"/>
        <family val="2"/>
      </rPr>
      <t xml:space="preserve">re those costs to the operator from the scheme such as publicity, timetables etc. </t>
    </r>
  </si>
  <si>
    <r>
      <t>Marginal Operating Costs</t>
    </r>
    <r>
      <rPr>
        <sz val="11"/>
        <color indexed="8"/>
        <rFont val="Calibri"/>
        <family val="2"/>
      </rPr>
      <t>: These are the additional costs to the operator for carrying one additional passenger assuming a fixed service level and include fuel, tyres and oil, maintenance etc.</t>
    </r>
  </si>
  <si>
    <r>
      <t>Fixed Element (£)</t>
    </r>
    <r>
      <rPr>
        <sz val="11"/>
        <color indexed="8"/>
        <rFont val="Calibri"/>
        <family val="2"/>
      </rPr>
      <t>: This is the fixed component of the marginal operating costs per additional concessionary passenger. This is equal to 5.5p in 2009/10 prices. The Calculator will automatically convert this into real prices, i.e. into prices in the current year of calculation.</t>
    </r>
  </si>
  <si>
    <r>
      <t>Journey Length</t>
    </r>
    <r>
      <rPr>
        <sz val="11"/>
        <color indexed="8"/>
        <rFont val="Calibri"/>
        <family val="2"/>
      </rPr>
      <t>: The marginal operating cost can also be varied by journey length. You can either use the default national average journey length (NTS) of 3.9 miles, or choose a journey length that is locally derived. If there is evidence to suggest that the local journey length is significantly different from this default, choose "Use Local Value" in the drop down menu in Cell [C9] to enter a locally derived journey length in Cell [D10].</t>
    </r>
  </si>
  <si>
    <r>
      <t>Variable Element (£)</t>
    </r>
    <r>
      <rPr>
        <sz val="11"/>
        <color indexed="8"/>
        <rFont val="Calibri"/>
        <family val="2"/>
      </rPr>
      <t>: This calculates the variable element of the marginal operating cost with the chosen average journey length. The variable element is 0.6p x AvgJourneyLength / 3.9 miles (in 2009/10 prices).  The Calculator will automatically convert this into real prices, i.e. into prices in the current year of calculation.</t>
    </r>
  </si>
  <si>
    <r>
      <t>Total Marginal Operating Costs</t>
    </r>
    <r>
      <rPr>
        <sz val="11"/>
        <color indexed="8"/>
        <rFont val="Calibri"/>
        <family val="2"/>
      </rPr>
      <t>: Displays total marginal operating costs uprated to the year of calculation (this has been uprated to prices in the year of calculation).</t>
    </r>
  </si>
  <si>
    <r>
      <t>Marginal Capacity Costs Button</t>
    </r>
    <r>
      <rPr>
        <sz val="11"/>
        <color indexed="8"/>
        <rFont val="Calibri"/>
        <family val="2"/>
      </rPr>
      <t xml:space="preserve">: Click on this button to get to the MCC Model. Marginal Additional Capacity Costs are the costs to the operator of carrying additional passengers and allowing the additional capacity of the bus to increase by using the existing fleet of buses more intensively to provide increased frequency. </t>
    </r>
  </si>
  <si>
    <r>
      <t>Peak Vehicle Requirement Costs</t>
    </r>
    <r>
      <rPr>
        <sz val="11"/>
        <color indexed="8"/>
        <rFont val="Calibri"/>
        <family val="2"/>
      </rPr>
      <t>: These are the costs associated with the requirement to run additional vehicles in the peak period due to generated concessionary travel. Where the operator supplies information for a claim for additional peak vehicle costs.</t>
    </r>
  </si>
  <si>
    <r>
      <t xml:space="preserve">This Calculator can be used to estimate MCCs for a whole network (use the first line only) or for a subset of networks (use multiple lines). To activate calculation for a particular line, select 'Yes' in dropdown menu.  </t>
    </r>
    <r>
      <rPr>
        <b/>
        <sz val="11"/>
        <color indexed="10"/>
        <rFont val="Calibri"/>
        <family val="2"/>
      </rPr>
      <t>There is a presumption that marginal capacity costs could potentially apply to all routes within a network. However, it is not expected that there will be positive marginal capacity costs on every route. It is advised that the Calculator should be at network level or for a subset of routes within a network, i.e. route data should be aggregated into a network line (see Annex J of Guidance for advice on aggregation). The guidance also advises that users should avoid mixing local and default values. Please refer to guidance Paragraphs 7.22-7.32.</t>
    </r>
  </si>
  <si>
    <r>
      <t xml:space="preserve">Enter </t>
    </r>
    <r>
      <rPr>
        <b/>
        <sz val="11"/>
        <color indexed="8"/>
        <rFont val="Calibri"/>
        <family val="2"/>
      </rPr>
      <t>Network/Subset of networks description</t>
    </r>
    <r>
      <rPr>
        <sz val="11"/>
        <color indexed="8"/>
        <rFont val="Calibri"/>
        <family val="2"/>
      </rPr>
      <t>. The analysis can be done for a whole network or for separate mini-networks of routes sharing similar characteristics.</t>
    </r>
  </si>
  <si>
    <r>
      <t xml:space="preserve">The </t>
    </r>
    <r>
      <rPr>
        <b/>
        <sz val="11"/>
        <color indexed="8"/>
        <rFont val="Calibri"/>
        <family val="2"/>
      </rPr>
      <t xml:space="preserve">Generation Factor </t>
    </r>
    <r>
      <rPr>
        <sz val="11"/>
        <color indexed="8"/>
        <rFont val="Calibri"/>
        <family val="2"/>
      </rPr>
      <t>derived from the Reimbursement Factor estimated in the RF model.</t>
    </r>
  </si>
  <si>
    <r>
      <t xml:space="preserve">The total </t>
    </r>
    <r>
      <rPr>
        <b/>
        <sz val="11"/>
        <color indexed="8"/>
        <rFont val="Calibri"/>
        <family val="2"/>
      </rPr>
      <t>concessionary journeys</t>
    </r>
    <r>
      <rPr>
        <sz val="11"/>
        <color indexed="8"/>
        <rFont val="Calibri"/>
        <family val="2"/>
      </rPr>
      <t xml:space="preserve"> on a network/subset of networks.</t>
    </r>
  </si>
  <si>
    <r>
      <t>Mohring Power</t>
    </r>
    <r>
      <rPr>
        <sz val="11"/>
        <color indexed="8"/>
        <rFont val="Calibri"/>
        <family val="2"/>
      </rPr>
      <t xml:space="preserve">: This is the relationship between demand and bus service level. This is set at 0.6 as a network average and applied to the whole network/subsets of networks. </t>
    </r>
  </si>
  <si>
    <r>
      <t>Unit cost per vehicle hour</t>
    </r>
    <r>
      <rPr>
        <sz val="11"/>
        <color indexed="8"/>
        <rFont val="Calibri"/>
        <family val="2"/>
      </rPr>
      <t xml:space="preserve">: the default average value is </t>
    </r>
    <r>
      <rPr>
        <b/>
        <sz val="11"/>
        <color indexed="8"/>
        <rFont val="Calibri"/>
        <family val="2"/>
      </rPr>
      <t>£13.30 per veh/hour in 2009/10 prices</t>
    </r>
    <r>
      <rPr>
        <sz val="11"/>
        <color indexed="8"/>
        <rFont val="Calibri"/>
        <family val="2"/>
      </rPr>
      <t xml:space="preserve">. </t>
    </r>
    <r>
      <rPr>
        <b/>
        <sz val="11"/>
        <color indexed="10"/>
        <rFont val="Calibri"/>
        <family val="2"/>
      </rPr>
      <t>The guidance recommends that the default values should be used even when using local data for other inputs due to the difficulty in estimating a true marginal unit cost from local data. It should be noted that the DfT default value for vehicle hour costs is likely to be an overestimate of the true unit cost (in particular, it includes London).  However, if TCAs can satisfy themselves that locally derived values are an accurate measure of the true marginal costs and can be validated, then a local value may be used</t>
    </r>
    <r>
      <rPr>
        <sz val="11"/>
        <color indexed="8"/>
        <rFont val="Calibri"/>
        <family val="2"/>
      </rPr>
      <t xml:space="preserve">. </t>
    </r>
    <r>
      <rPr>
        <b/>
        <sz val="11"/>
        <color indexed="8"/>
        <rFont val="Calibri"/>
        <family val="2"/>
      </rPr>
      <t>Please refer to Paragraphs 7.42-7.45 and E.56-E.59 of the guidance</t>
    </r>
    <r>
      <rPr>
        <sz val="11"/>
        <color indexed="8"/>
        <rFont val="Calibri"/>
        <family val="2"/>
      </rPr>
      <t xml:space="preserve">. The amount is adjusted for inflation to the year of calculation. </t>
    </r>
  </si>
  <si>
    <r>
      <t>Unit cost per vehicle mile</t>
    </r>
    <r>
      <rPr>
        <sz val="11"/>
        <color indexed="8"/>
        <rFont val="Calibri"/>
        <family val="2"/>
      </rPr>
      <t xml:space="preserve">: the default average value is </t>
    </r>
    <r>
      <rPr>
        <b/>
        <sz val="11"/>
        <color indexed="8"/>
        <rFont val="Calibri"/>
        <family val="2"/>
      </rPr>
      <t>£0.70 per veh/mile in 2009/10 prices</t>
    </r>
    <r>
      <rPr>
        <sz val="11"/>
        <color indexed="8"/>
        <rFont val="Calibri"/>
        <family val="2"/>
      </rPr>
      <t xml:space="preserve">. </t>
    </r>
    <r>
      <rPr>
        <b/>
        <sz val="11"/>
        <color indexed="10"/>
        <rFont val="Calibri"/>
        <family val="2"/>
      </rPr>
      <t>The guidance recommends that the default value should be used even when using local data for other inputs due to the difficulty in estimating a true marginal unit cost from local data. However, if TCAs can satisfy themselves that locally derived values are an accurate measure of the true marginal costs and can be validated, then a local value may be used.</t>
    </r>
    <r>
      <rPr>
        <sz val="11"/>
        <color indexed="8"/>
        <rFont val="Calibri"/>
        <family val="2"/>
      </rPr>
      <t xml:space="preserve"> </t>
    </r>
    <r>
      <rPr>
        <b/>
        <sz val="11"/>
        <color indexed="8"/>
        <rFont val="Calibri"/>
        <family val="2"/>
      </rPr>
      <t xml:space="preserve">Please refer to Paragraphs 7.42-7.45 and E.60-E.61 of the guidance. </t>
    </r>
    <r>
      <rPr>
        <sz val="11"/>
        <color indexed="8"/>
        <rFont val="Calibri"/>
        <family val="2"/>
      </rPr>
      <t xml:space="preserve">The amount is adjusted for inflation to the year of calculation. </t>
    </r>
  </si>
  <si>
    <t>6.11-6.17</t>
  </si>
  <si>
    <t>5.34-5.35</t>
  </si>
  <si>
    <t>5.40-5.41</t>
  </si>
  <si>
    <t>6.11-6.41, H.29</t>
  </si>
  <si>
    <t>7.18-7.58, H.48-H.59, I1-I21</t>
  </si>
  <si>
    <t>Version 3.2   -  02 October 2013</t>
  </si>
  <si>
    <r>
      <t>Speed (miles per hour)</t>
    </r>
    <r>
      <rPr>
        <sz val="11"/>
        <color indexed="8"/>
        <rFont val="Calibri"/>
        <family val="2"/>
      </rPr>
      <t xml:space="preserve">: This is the average bus speed (including turn times and recover times but excluding planned breaks) for the network/subset of networks. The default value is a national average of </t>
    </r>
    <r>
      <rPr>
        <b/>
        <sz val="11"/>
        <color indexed="8"/>
        <rFont val="Calibri"/>
        <family val="2"/>
      </rPr>
      <t>8.79 miles/hour for PTE areas</t>
    </r>
    <r>
      <rPr>
        <sz val="11"/>
        <color indexed="8"/>
        <rFont val="Calibri"/>
        <family val="2"/>
      </rPr>
      <t xml:space="preserve"> and </t>
    </r>
    <r>
      <rPr>
        <b/>
        <sz val="11"/>
        <color indexed="8"/>
        <rFont val="Calibri"/>
        <family val="2"/>
      </rPr>
      <t xml:space="preserve">10.03 miles for Non-PTE areas </t>
    </r>
    <r>
      <rPr>
        <sz val="11"/>
        <color indexed="8"/>
        <rFont val="Calibri"/>
        <family val="2"/>
      </rPr>
      <t>(first line). If there is evidence to suggest that bus speed for your local area is significantly different from these averages, choose "Use Local Value" from the drop down menu in the second line and enter local value in second line. The Comparison of Urban Bus Systems (CUBS) website (follow link: http://cubs.reseaulutions.com/towninformation-overview.php) contains average bus speed data by area type.</t>
    </r>
  </si>
  <si>
    <r>
      <t>Mean journey length</t>
    </r>
    <r>
      <rPr>
        <sz val="11"/>
        <color indexed="8"/>
        <rFont val="Calibri"/>
        <family val="2"/>
      </rPr>
      <t xml:space="preserve">: The default average is </t>
    </r>
    <r>
      <rPr>
        <b/>
        <sz val="11"/>
        <color indexed="8"/>
        <rFont val="Calibri"/>
        <family val="2"/>
      </rPr>
      <t>3.1 miles in PTEs</t>
    </r>
    <r>
      <rPr>
        <sz val="11"/>
        <color indexed="8"/>
        <rFont val="Calibri"/>
        <family val="2"/>
      </rPr>
      <t xml:space="preserve"> and </t>
    </r>
    <r>
      <rPr>
        <b/>
        <sz val="11"/>
        <color indexed="8"/>
        <rFont val="Calibri"/>
        <family val="2"/>
      </rPr>
      <t>3.6 miles in NPTEs</t>
    </r>
    <r>
      <rPr>
        <sz val="11"/>
        <color indexed="8"/>
        <rFont val="Calibri"/>
        <family val="2"/>
      </rPr>
      <t>. If there is evidence to suggest that the mean journey length for the local area under consideration is different, choose "Use Local Value" in the drop down menu and enter local average in the second line. A rule of thumb that the average journey length is 50 per cent of the route length may be used although TCAs/operators may wish to take account of how this relationship may vary for different types of services based on local evidence.</t>
    </r>
  </si>
  <si>
    <r>
      <t>Mean route length</t>
    </r>
    <r>
      <rPr>
        <sz val="11"/>
        <color indexed="8"/>
        <rFont val="Calibri"/>
        <family val="2"/>
      </rPr>
      <t>: The default average is</t>
    </r>
    <r>
      <rPr>
        <b/>
        <sz val="11"/>
        <color indexed="8"/>
        <rFont val="Calibri"/>
        <family val="2"/>
      </rPr>
      <t xml:space="preserve"> 6.2 miles in PTEs</t>
    </r>
    <r>
      <rPr>
        <sz val="11"/>
        <color indexed="8"/>
        <rFont val="Calibri"/>
        <family val="2"/>
      </rPr>
      <t xml:space="preserve"> and </t>
    </r>
    <r>
      <rPr>
        <b/>
        <sz val="11"/>
        <color indexed="8"/>
        <rFont val="Calibri"/>
        <family val="2"/>
      </rPr>
      <t>7.1 miles in NPTEs</t>
    </r>
    <r>
      <rPr>
        <sz val="11"/>
        <color indexed="8"/>
        <rFont val="Calibri"/>
        <family val="2"/>
      </rPr>
      <t>. If there is evidence to suggest that the mean route length for the local area under consideration is different, choose "Use Local Value" in the drop down menu and enter local average in the second line.</t>
    </r>
  </si>
  <si>
    <t>Mean journey length</t>
  </si>
  <si>
    <t>Marginal operating cost per generated journey</t>
  </si>
  <si>
    <t>NPTE, 2009/10</t>
  </si>
  <si>
    <t>[Select Cols X and BB and</t>
  </si>
  <si>
    <t>go to Format\Column\Unhide</t>
  </si>
  <si>
    <t>to unhide columns]</t>
  </si>
  <si>
    <r>
      <t xml:space="preserve">Hyperlinks </t>
    </r>
    <r>
      <rPr>
        <sz val="11"/>
        <color indexed="8"/>
        <rFont val="Calibri"/>
        <family val="2"/>
      </rPr>
      <t>are provided throughout the Calculator to assist in its use. Clicking on the relevant note number to the left of the various rows in the analysis worksheets will bring you back to this instructions sheet and the relevant detailed note. Clicking on the note reference on this sheet will take you back to the relevant section of the analysis sheet. To the right of the notes on this page are paragraph references to the DfT written guidance. Buttons are also provided to help navigation between different sections.</t>
    </r>
  </si>
  <si>
    <r>
      <t>Choose the appropriate method</t>
    </r>
    <r>
      <rPr>
        <sz val="11"/>
        <color indexed="8"/>
        <rFont val="Calibri"/>
        <family val="2"/>
      </rPr>
      <t xml:space="preserve"> with which to calculate the average fare forgone in Cell [C10]. The choices available are presented by buttons. Clicking on the  'Discount Factor Method' button directs users to Cell [B17] to use the Discount Factor Calculator. Clicking on the "Basket of Fares Method" button directs users to Cell [B33] to use the basket of fares template. Clicking on the "Enter Average Fare Forgone directly" button directs users to Cell [C10] where the average fare forgone can be entered directly. </t>
    </r>
    <r>
      <rPr>
        <b/>
        <sz val="11"/>
        <color indexed="10"/>
        <rFont val="Calibri"/>
        <family val="2"/>
      </rPr>
      <t>Please refer to the guidance for application guidelines and advice on which method to use (Table 5.1).</t>
    </r>
  </si>
  <si>
    <r>
      <t>Mean Vehicle Occupancy</t>
    </r>
    <r>
      <rPr>
        <sz val="11"/>
        <color indexed="8"/>
        <rFont val="Calibri"/>
        <family val="2"/>
      </rPr>
      <t xml:space="preserve">: The default average is </t>
    </r>
    <r>
      <rPr>
        <b/>
        <sz val="11"/>
        <color indexed="8"/>
        <rFont val="Calibri"/>
        <family val="2"/>
      </rPr>
      <t>10 passengers per bus mile</t>
    </r>
    <r>
      <rPr>
        <sz val="11"/>
        <color indexed="8"/>
        <rFont val="Calibri"/>
        <family val="2"/>
      </rPr>
      <t>. If there is evidence to suggest that the mean vehicle occupancy for the local area under consideration is different, choose "Use Local Value" in the drop down menu and enter local average in the second line. An estimate of average occupancy can be calculated from passenger journeys x journey length / vehicle miles.</t>
    </r>
  </si>
  <si>
    <r>
      <t>Average Commercial Fare</t>
    </r>
    <r>
      <rPr>
        <sz val="11"/>
        <color indexed="8"/>
        <rFont val="Calibri"/>
        <family val="2"/>
      </rPr>
      <t>: Enter the locally derived average commercial fare in the relevant reimbursement period for the network/subset of networks. This includes commercial adults and full-fare paying children.</t>
    </r>
  </si>
  <si>
    <r>
      <t>Total Marginal Operating Costs</t>
    </r>
    <r>
      <rPr>
        <sz val="12"/>
        <color indexed="8"/>
        <rFont val="Calibri"/>
        <family val="2"/>
      </rPr>
      <t>: calculated as total concessionary journeys x Generation Factor x MOC in pence per journey.</t>
    </r>
  </si>
  <si>
    <r>
      <t>Commercial journeys as a percentage of total journeys</t>
    </r>
    <r>
      <rPr>
        <sz val="11"/>
        <color indexed="8"/>
        <rFont val="Calibri"/>
        <family val="2"/>
      </rPr>
      <t>: The default average value provided is 60%. If there is evidence to suggest that commercial journeys as a percentage of the total is significantly different, choose "Use Local Value" from the drop down menu and enter local value in second line. Commercial journeys include adults and full-fare paying children.</t>
    </r>
  </si>
  <si>
    <r>
      <t xml:space="preserve">This is the </t>
    </r>
    <r>
      <rPr>
        <b/>
        <sz val="11"/>
        <color indexed="8"/>
        <rFont val="Calibri"/>
        <family val="2"/>
      </rPr>
      <t>service or frequency elasticity</t>
    </r>
    <r>
      <rPr>
        <sz val="11"/>
        <color indexed="8"/>
        <rFont val="Calibri"/>
        <family val="2"/>
      </rPr>
      <t xml:space="preserve">. It measures the responsiveness of demand to changes in frequency. It is set at </t>
    </r>
    <r>
      <rPr>
        <b/>
        <sz val="11"/>
        <color indexed="8"/>
        <rFont val="Calibri"/>
        <family val="2"/>
      </rPr>
      <t>0.66</t>
    </r>
    <r>
      <rPr>
        <sz val="11"/>
        <color indexed="8"/>
        <rFont val="Calibri"/>
        <family val="2"/>
      </rPr>
      <t xml:space="preserve"> as a network average and is applied to the network/subsets of networks.</t>
    </r>
  </si>
  <si>
    <r>
      <t xml:space="preserve">This is the calculated rate of </t>
    </r>
    <r>
      <rPr>
        <b/>
        <sz val="11"/>
        <color indexed="8"/>
        <rFont val="Calibri"/>
        <family val="2"/>
      </rPr>
      <t>net marginal capacity cost per additional (generated) concessionary passenger</t>
    </r>
    <r>
      <rPr>
        <sz val="11"/>
        <color indexed="8"/>
        <rFont val="Calibri"/>
        <family val="2"/>
      </rPr>
      <t xml:space="preserve"> by for the network/subset of routes. It allows for inflation to the year of calculation and is capped at £0.00 (is not allowed to be negative).</t>
    </r>
  </si>
  <si>
    <r>
      <t xml:space="preserve">This is the </t>
    </r>
    <r>
      <rPr>
        <b/>
        <sz val="11"/>
        <color indexed="8"/>
        <rFont val="Calibri"/>
        <family val="2"/>
      </rPr>
      <t>total amount of marginal capacity cost for the network/each subset of routes</t>
    </r>
    <r>
      <rPr>
        <sz val="11"/>
        <color indexed="8"/>
        <rFont val="Calibri"/>
        <family val="2"/>
      </rPr>
      <t xml:space="preserve">. It is calculated as generation factor x concessionary journeys on network/subset of routes x MCC per generated journey. It allows for inflation to the year of calculation.  </t>
    </r>
  </si>
  <si>
    <r>
      <t>This is the t</t>
    </r>
    <r>
      <rPr>
        <b/>
        <sz val="11"/>
        <color indexed="8"/>
        <rFont val="Calibri"/>
        <family val="2"/>
      </rPr>
      <t>otal generated concessionary journeys on the network</t>
    </r>
    <r>
      <rPr>
        <sz val="11"/>
        <color indexed="8"/>
        <rFont val="Calibri"/>
        <family val="2"/>
      </rPr>
      <t xml:space="preserve"> (summed across all activated lines). An error message appears if the total is different from the figure entered on the start page.</t>
    </r>
  </si>
  <si>
    <r>
      <t>This is the</t>
    </r>
    <r>
      <rPr>
        <b/>
        <sz val="11"/>
        <color indexed="8"/>
        <rFont val="Calibri"/>
        <family val="2"/>
      </rPr>
      <t xml:space="preserve"> total marginal capacity costs on the network </t>
    </r>
    <r>
      <rPr>
        <sz val="11"/>
        <color indexed="8"/>
        <rFont val="Calibri"/>
        <family val="2"/>
      </rPr>
      <t>(summed across all activated lines)</t>
    </r>
  </si>
  <si>
    <r>
      <t>Observed Concessionary journeys</t>
    </r>
    <r>
      <rPr>
        <sz val="12"/>
        <color indexed="8"/>
        <rFont val="Calibri"/>
        <family val="2"/>
      </rPr>
      <t>: Displays the number of concessionary journeys observed in the relevant reimbursement period as entered in the Start Page.</t>
    </r>
  </si>
  <si>
    <r>
      <t>Average Fare Forgone</t>
    </r>
    <r>
      <rPr>
        <sz val="12"/>
        <color indexed="8"/>
        <rFont val="Calibri"/>
        <family val="2"/>
      </rPr>
      <t>: Displays the average fare forgone as derived in AF Model.</t>
    </r>
  </si>
  <si>
    <r>
      <t>Reimbursement Factor</t>
    </r>
    <r>
      <rPr>
        <sz val="12"/>
        <color indexed="8"/>
        <rFont val="Calibri"/>
        <family val="2"/>
      </rPr>
      <t>: Displays the reimbursement factor as derived in the RF Model.</t>
    </r>
  </si>
  <si>
    <r>
      <t>Total Reimbursement for Revenue Forgone</t>
    </r>
    <r>
      <rPr>
        <sz val="12"/>
        <color indexed="8"/>
        <rFont val="Calibri"/>
        <family val="2"/>
      </rPr>
      <t>: Calculated as Observed Concessionary journeys x Reimbursement Factor x Average Fare Forgone.</t>
    </r>
  </si>
  <si>
    <r>
      <t>Generation Factor</t>
    </r>
    <r>
      <rPr>
        <sz val="12"/>
        <color indexed="8"/>
        <rFont val="Calibri"/>
        <family val="2"/>
      </rPr>
      <t>: This is the 1- Reimbursement Factor%.</t>
    </r>
  </si>
  <si>
    <r>
      <t>Additional Marginal Operating Cost per Journey</t>
    </r>
    <r>
      <rPr>
        <sz val="12"/>
        <color indexed="8"/>
        <rFont val="Calibri"/>
        <family val="2"/>
      </rPr>
      <t>: Displays the marginal operating cost per journey calculated in the AC Model.</t>
    </r>
  </si>
  <si>
    <r>
      <t xml:space="preserve">Display </t>
    </r>
    <r>
      <rPr>
        <b/>
        <sz val="12"/>
        <color indexed="8"/>
        <rFont val="Calibri"/>
        <family val="2"/>
      </rPr>
      <t>Scheme Administration Costs</t>
    </r>
    <r>
      <rPr>
        <sz val="12"/>
        <color indexed="8"/>
        <rFont val="Calibri"/>
        <family val="2"/>
      </rPr>
      <t xml:space="preserve"> entered in AC model.</t>
    </r>
  </si>
  <si>
    <r>
      <t>Total Marginal Capacity Costs</t>
    </r>
    <r>
      <rPr>
        <sz val="12"/>
        <color indexed="8"/>
        <rFont val="Calibri"/>
        <family val="2"/>
      </rPr>
      <t xml:space="preserve"> calculated in MCC model.</t>
    </r>
  </si>
  <si>
    <r>
      <t>PVR Costs</t>
    </r>
    <r>
      <rPr>
        <sz val="12"/>
        <color indexed="8"/>
        <rFont val="Calibri"/>
        <family val="2"/>
      </rPr>
      <t>: Displays Peak Vehicle Requirement Costs entered in AC Model.</t>
    </r>
  </si>
  <si>
    <r>
      <t>Total Reimbursement for Additional Costs</t>
    </r>
    <r>
      <rPr>
        <sz val="12"/>
        <color indexed="8"/>
        <rFont val="Calibri"/>
        <family val="2"/>
      </rPr>
      <t>: Calculated as Generation Factor x Concessionary journeys x (Marginal Operating Cost per journey  + Marginal Capacity Cost per journey) + Peak Vehicle Requirement costs.</t>
    </r>
  </si>
  <si>
    <r>
      <t>Total Reimbursement</t>
    </r>
    <r>
      <rPr>
        <sz val="12"/>
        <color indexed="8"/>
        <rFont val="Calibri"/>
        <family val="2"/>
      </rPr>
      <t>: Calculated as Total Reimbursement for Revenue Forgone + Total Reimbursement for Additional Costs.</t>
    </r>
  </si>
  <si>
    <r>
      <t>A facility is provided to update the CPI Index and GDP Deflator when new data is published</t>
    </r>
    <r>
      <rPr>
        <sz val="11"/>
        <color indexed="8"/>
        <rFont val="Calibri"/>
        <family val="2"/>
      </rPr>
      <t>. The CPI Index and GDP Deflator are used to convert nominal changes in fares into real changes in fares for the purpose of calculating the RF and to update costs to the year of calculation (e.g. MOC, unit costs). The data can be obtained from the links given in Rows 15 and 16. The CPI Index will be a number such as e.g. 123.2. For a given year, it is the value of the Index at March which should be used. The GDP Deflator will be expressed as a % (e.g. 2.3%) and can be found in column D of the Spreadsheet whose link is given in Row 16.</t>
    </r>
  </si>
  <si>
    <r>
      <t>In Cells [C20:C24] enter updated CPI Index values</t>
    </r>
    <r>
      <rPr>
        <sz val="11"/>
        <color indexed="8"/>
        <rFont val="Calibri"/>
        <family val="2"/>
      </rPr>
      <t xml:space="preserve"> obtained from the link given above. The data which was published at the time of the publication of the guidance can be seen in Cells [B1:C13].</t>
    </r>
  </si>
  <si>
    <t>Index of "old" passholder Trips</t>
  </si>
  <si>
    <t>Additional Costs Calculator (Step 4)</t>
  </si>
  <si>
    <t>Note Reference</t>
  </si>
  <si>
    <t>Paragraph reference in DfT guidance</t>
  </si>
  <si>
    <t>Calculator cells are colour-coded as follows:</t>
  </si>
  <si>
    <t>4.1-4.2</t>
  </si>
  <si>
    <t>Tickets</t>
  </si>
  <si>
    <t>Use 2005/6 Fare</t>
  </si>
  <si>
    <t>Average Fare index on SDC</t>
  </si>
  <si>
    <t>Estimated average fare in 2005/6</t>
  </si>
  <si>
    <t>Estimation of Average Fare Foregone using Discount Fare Method - Template</t>
  </si>
  <si>
    <t>CASH FARE</t>
  </si>
  <si>
    <t>Product</t>
  </si>
  <si>
    <t>Single journey multiplier</t>
  </si>
  <si>
    <t>Number of tickets sold</t>
  </si>
  <si>
    <t>5.22-5.29</t>
  </si>
  <si>
    <t>7.1-7.5</t>
  </si>
  <si>
    <t>7.6-7.8</t>
  </si>
  <si>
    <t>7.9-7.10</t>
  </si>
  <si>
    <t>7.12-7.14</t>
  </si>
  <si>
    <t>7.59-7.74</t>
  </si>
  <si>
    <t>7.41-7.44, E.56-E.59</t>
  </si>
  <si>
    <t>7.41-7.44, E.60-E.61</t>
  </si>
  <si>
    <t>7.37-7.40</t>
  </si>
  <si>
    <t>7.49-7.51</t>
  </si>
  <si>
    <t>7.45-7.48</t>
  </si>
  <si>
    <t>7.52, E.65-E.66</t>
  </si>
  <si>
    <t>National Bus Index - Nominal increase between 2005/06 and 2010/11</t>
  </si>
  <si>
    <t>Area type</t>
  </si>
  <si>
    <t>Total revenue (£)</t>
  </si>
  <si>
    <t>Equivalent number of journeys</t>
  </si>
  <si>
    <t>Total all cash fares</t>
  </si>
  <si>
    <t>Average cash fare (per journey)</t>
  </si>
  <si>
    <t>DAY TICKETS</t>
  </si>
  <si>
    <t>Total all day tickets</t>
  </si>
  <si>
    <t>Average day ticket price</t>
  </si>
  <si>
    <t>WEEKLY TICKETS</t>
  </si>
  <si>
    <t>Total all weekly tickets</t>
  </si>
  <si>
    <t>Average weekly ticket price</t>
  </si>
  <si>
    <t>Administration Costs</t>
  </si>
  <si>
    <t>National Bus Fare Index</t>
  </si>
  <si>
    <t>Total percentage change in average fares since 2005/6</t>
  </si>
  <si>
    <t>Using the National Bus Fare Index to calculate reimbursement</t>
  </si>
  <si>
    <t xml:space="preserve">Current nominal average fare foregone </t>
  </si>
  <si>
    <t>Current nominal average fare foregone</t>
  </si>
  <si>
    <t>Average fare in 2005/6 prices</t>
  </si>
  <si>
    <t>Estimated Average Fare in 2005/6</t>
  </si>
  <si>
    <t>Average fare index on SDC</t>
  </si>
  <si>
    <t>Using TCA wide average fare to calculate reimbursement factor</t>
  </si>
  <si>
    <t>Using operator specific change in fares to calculate reimbursement</t>
  </si>
  <si>
    <t>Average Fare Index on SDC</t>
  </si>
  <si>
    <t>Marginal Capacity Cost Calculator</t>
  </si>
  <si>
    <t>Default Mean Vehicle Occupancy</t>
  </si>
  <si>
    <t>Mean Route Length</t>
  </si>
  <si>
    <t>Base frequency</t>
  </si>
  <si>
    <t>Pax boardings/m of route/bus</t>
  </si>
  <si>
    <t>Pax boardings/m of route/hr</t>
  </si>
  <si>
    <t>Additional pax per m of route/hr</t>
  </si>
  <si>
    <t>χ1 (Buses/hr)</t>
  </si>
  <si>
    <t>Veh hrs/hr to operate BOTH sides of the route - Without marginal pax</t>
  </si>
  <si>
    <t>Veh hrs/hr to operate on ONE side of the route - Without marginal pax</t>
  </si>
  <si>
    <t>Veh hrs/hr to operate BOTH sides of the route - With marginal pax</t>
  </si>
  <si>
    <t>Veh hrs/hr to operate on ONE side of the route - With marginal pax</t>
  </si>
  <si>
    <t>Veh miles/hr to operate BOTH sides of the route - Without marginal pax</t>
  </si>
  <si>
    <t>Veh miles/hr to operate on ONE side of the route - Without marginal pax</t>
  </si>
  <si>
    <t>Veh miles/hr to operate BOTH sides of the route - With marginal pax</t>
  </si>
  <si>
    <t>Veh ,iles/hr to operate on ONE side of the route - With marginal pax</t>
  </si>
  <si>
    <t>Δveh miles</t>
  </si>
  <si>
    <t>Overall speed incl turns</t>
  </si>
  <si>
    <t>MODEL INPUTS</t>
  </si>
  <si>
    <t>Service elasticity</t>
  </si>
  <si>
    <t>Base frequency (buses/hr)</t>
  </si>
  <si>
    <t>Percentage change in frequency</t>
  </si>
  <si>
    <t>Journeys</t>
  </si>
  <si>
    <t>Journeys made (from Look Up Table)</t>
  </si>
  <si>
    <t>(6) Degenerate Cash Fare journeys</t>
  </si>
  <si>
    <t>Daily journeys</t>
  </si>
  <si>
    <t>Cash Fare journeys</t>
  </si>
  <si>
    <t>Weekly journeys</t>
  </si>
  <si>
    <t>Check journey total</t>
  </si>
  <si>
    <t>journeys made (from Look Up Table)</t>
  </si>
  <si>
    <t>journeys per ticket</t>
  </si>
  <si>
    <t>Price per journey</t>
  </si>
  <si>
    <t>(1) NowCard Data - Lookup Table</t>
  </si>
  <si>
    <t>Weekly Ticket Price as Multiple of Cash Fare per Journey</t>
  </si>
  <si>
    <t>Daily Ticket Price as Multiple of Cash Fare per Journey</t>
  </si>
  <si>
    <t>Weekly Journeys</t>
  </si>
  <si>
    <t>Daily Journeys</t>
  </si>
  <si>
    <t>Cash Fare Journeys</t>
  </si>
  <si>
    <t>Distribution of tickets and journeys</t>
  </si>
  <si>
    <t>Percentage change in demand</t>
  </si>
  <si>
    <t>Total boardings/hr BOTH WAYS</t>
  </si>
  <si>
    <t>Total boardings/hr ONE WAY</t>
  </si>
  <si>
    <t>Of which commercial journeys</t>
  </si>
  <si>
    <t>Revenue Gain</t>
  </si>
  <si>
    <t>Activate calculation</t>
  </si>
  <si>
    <t>WORKINGS</t>
  </si>
  <si>
    <t>Total net marginal capacity costs</t>
  </si>
  <si>
    <t>RF</t>
  </si>
  <si>
    <t>Cash Fare</t>
  </si>
  <si>
    <t>Ticket Type</t>
  </si>
  <si>
    <t>Final allocation of tickets (after degeneration)</t>
  </si>
  <si>
    <t>%</t>
  </si>
  <si>
    <t>CPI /GDP Deflator</t>
  </si>
  <si>
    <t>GDP Deflator Source: HM Treasury, http://www.hm-treasury.gov.uk/d/gdp_deflators.xls</t>
  </si>
  <si>
    <t>Bus Fare Index Source: Monthly Digest of Statistics (Change in Fare between 2005/6 and 2006/7 assumed to be same as CPI)</t>
  </si>
  <si>
    <t>Percentage Change in Average Fares between 2005/6 and the current year</t>
  </si>
  <si>
    <t>Percentage change in operator specific nominal fare between 2010/11 and current reimbursement period</t>
  </si>
  <si>
    <t>Percentage change in fares between 2005/6 and 2010/11</t>
  </si>
  <si>
    <t>Total change in fares between 2005/6 and current reimbursement period</t>
  </si>
  <si>
    <t>New Operator</t>
  </si>
  <si>
    <t>Percentage change in TCA wide nominal fares between 2005/6 and current reimbursement period</t>
  </si>
  <si>
    <t>MARGINAL CAPACITY COSTS MODEL - WORKED EXAMPLE</t>
  </si>
  <si>
    <t>ASSUMPTIONS</t>
  </si>
  <si>
    <t>Mohring power</t>
  </si>
  <si>
    <t>Vehicle/mile cost</t>
  </si>
  <si>
    <t>Vehicle/hr cost</t>
  </si>
  <si>
    <t>Commercial Journeys as a % of total</t>
  </si>
  <si>
    <t>Average Fare Calculator</t>
  </si>
  <si>
    <t>Marginal Operating Costs</t>
  </si>
  <si>
    <t>Fixed Element (£)</t>
  </si>
  <si>
    <t>Journey Length (miles)</t>
  </si>
  <si>
    <t>Variable Element (£)</t>
  </si>
  <si>
    <t xml:space="preserve">Enter total Peak Vehicle Requirement Costs </t>
  </si>
  <si>
    <r>
      <t>When the new data has been entered, click on the</t>
    </r>
    <r>
      <rPr>
        <b/>
        <sz val="11"/>
        <color indexed="8"/>
        <rFont val="Calibri"/>
        <family val="2"/>
      </rPr>
      <t xml:space="preserve"> 'Update Inflation' button</t>
    </r>
    <r>
      <rPr>
        <sz val="11"/>
        <color indexed="8"/>
        <rFont val="Calibri"/>
        <family val="2"/>
      </rPr>
      <t>. The inflation series will be automatically updated and appear in Cells [I3:I13] - this then feeds through to Cells [F2:F13] in  'AF Workings' in . Where values have been entered both for the CPI Index and the GDP Deflator for a given year in Cells [C20:D24], the Calculator will give preference to the CPI Index as this is based on actual values rather than forecasts.</t>
    </r>
  </si>
  <si>
    <t>PVR Costs (£)</t>
  </si>
  <si>
    <t>Enter Local Administration Cost of Scheme (£)</t>
  </si>
  <si>
    <t>Marginal Capacity Costs Model (Step 5)</t>
  </si>
  <si>
    <t>5.5-5.13</t>
  </si>
  <si>
    <t>Manual update of CPI Index</t>
  </si>
  <si>
    <t>2014/15</t>
  </si>
  <si>
    <t>2015/16</t>
  </si>
  <si>
    <t>2016/17</t>
  </si>
  <si>
    <t>Latest CPI Index</t>
  </si>
  <si>
    <t>http://www.ons.gov.uk/ons/datasets-and-tables/data-selector.html?cdid=D7BT&amp;dataset=mm23&amp;table-id=1.1</t>
  </si>
  <si>
    <t>Choose CPI indices for March (End of Quarter 1)</t>
  </si>
  <si>
    <t>GDP Deflator</t>
  </si>
  <si>
    <t>No Day Ticket</t>
  </si>
  <si>
    <t>Updated Index</t>
  </si>
  <si>
    <t>Master Index</t>
  </si>
  <si>
    <t>More than 40</t>
  </si>
  <si>
    <t>Use Local Value</t>
  </si>
  <si>
    <t>Updated CPI Index</t>
  </si>
  <si>
    <t xml:space="preserve">GDP Deflator Source: http://www.hm-treasury.gov.uk/d/gdp_deflators.xlsx
</t>
  </si>
  <si>
    <t>Updated index</t>
  </si>
  <si>
    <t>CPI/GDP Deflator</t>
  </si>
  <si>
    <t>Workings</t>
  </si>
  <si>
    <t>Change in CPI index</t>
  </si>
  <si>
    <t>GDP deflator</t>
  </si>
  <si>
    <t>Percentage change in nominal fares between 2005/6 and 2010/11</t>
  </si>
  <si>
    <t>CPI Index Source: http://www.ons.gov.uk/ons/datasets-and-tables/data-selector.html?cdid=D7BT&amp;dataset=mm23&amp;table-id=1.1</t>
  </si>
  <si>
    <t>Latest GDP Deflator(%)</t>
  </si>
  <si>
    <t>Choose Financial Year percentage</t>
  </si>
  <si>
    <t>5.10</t>
  </si>
  <si>
    <t>5.42-5.43</t>
  </si>
  <si>
    <t>Objective: To obtain marginal capacity costs per generated passenger</t>
  </si>
  <si>
    <t>0.6 is the Mohring Factor (a 10% increase in demand lead to 6% increase in frequency)</t>
  </si>
  <si>
    <t>0 is the scenario without an additional passenger and 1 with one additional passenger</t>
  </si>
  <si>
    <t xml:space="preserve">10 minute frequency </t>
  </si>
  <si>
    <t>BASE FREQUENCY ASSUMPTION</t>
  </si>
  <si>
    <t>Average commercial fare</t>
  </si>
  <si>
    <r>
      <t xml:space="preserve">The mohring relationship is based on proportionate changes in demand and frequency so it is necessary to make assumptions on base frequency and base passenger boardings. </t>
    </r>
    <r>
      <rPr>
        <sz val="12"/>
        <color indexed="10"/>
        <rFont val="Calibri"/>
        <family val="2"/>
      </rPr>
      <t>These base assumptions have no impact on the estimated marginal capacity cost per generated passenger</t>
    </r>
  </si>
  <si>
    <t>Mean route length</t>
  </si>
  <si>
    <t>Where</t>
  </si>
  <si>
    <t>B is the mean rate of passenger boardings per km of route per hour</t>
  </si>
  <si>
    <t>Concessionary Travel for Older and Disabled People: Guidance on Reimbursing Bus Operators (England)</t>
  </si>
  <si>
    <t>Instructions</t>
  </si>
  <si>
    <t>This method consists in calculating a discount factor to adjust the full commercial adult cash fare so as to reflect the fact that in the absence of free-fare schemes, individuals would buy cash fares as well as discounted tickets. The discount factor is based on the prevailing ticket price structure of an operator and the journey distribution of concessionary travellers at zero fare suitably abated to allow for degeneration. There are two options. (1) Clicking on the "Use templates to calculate average ticket prices" will take users to Cell [B55] where the template can be used to estimate the cash fare. Clicking on the "Calculate daily ticket price" button takes users to Cell [B69] which contains the appropriate template. Clicking on the "Calculate weekly ticket price" button takes users to Cell [B83] where the appropriate template is available. Clicking on the "Done" button after entering appropriate values will redirect users to the next step and associated Average Fare Foregone in [C10].  (2) Clicking on the "Enter average ticket prices directly" will take users to Cell [C21] where average fares for cash fares, daily and weekly tickets can be entered.</t>
  </si>
  <si>
    <t>7.25-7.27</t>
  </si>
  <si>
    <t>7.19-7.59, H.45-H.59, I.1-I.21</t>
  </si>
  <si>
    <t>5.14-5.37, H.6-H.28</t>
  </si>
  <si>
    <t>H.17-H.21</t>
  </si>
  <si>
    <t>H.22-H.28</t>
  </si>
  <si>
    <t>7.33-7.34, E.64</t>
  </si>
  <si>
    <t>Network/Subset of networks</t>
  </si>
  <si>
    <t>&lt;Add network desc&gt;</t>
  </si>
  <si>
    <t>Total Concessionary Journeys on Network/Subset of networks</t>
  </si>
  <si>
    <t>Total net costs for the network/subset of networks (£)</t>
  </si>
  <si>
    <t>Annex D</t>
  </si>
  <si>
    <t>Update Inflation Index</t>
  </si>
  <si>
    <t>The written guidance and this calculator set out DfT preferred methodology for calculating reimbursement based on the best available evidence. TCAs may use the methodology of their choice in calculating reimbursement for bus operators, subject to ensuring that operators are left no better, no worse off as a result of their participation into the scheme.</t>
  </si>
  <si>
    <r>
      <t>In this section users can opt for one of three methods to input a change in fares</t>
    </r>
    <r>
      <rPr>
        <sz val="11"/>
        <color indexed="8"/>
        <rFont val="Calibri"/>
        <family val="2"/>
      </rPr>
      <t xml:space="preserve"> in the Model using the appropriate buttons. In all cases, from 2010/11 onwards, it is the operator-specific fare that is used except in the case of new operators. Option (1) The change in operator-specific nominal fares between 2005/06 and the year of calculation is used. Option (2) The change in TCA-wide nominal fares between 2005/06 and 20010/11 is used. From 2010/11, the change in operator specific fares is used. Option (3) In the absence of appropriate data, a national bus index and the CPI index can be used between 2005/06 and 2010/11 and then the change in operator-specific fares from 2010/11. for new operators, the change in TCA wide nominal average fare between 2005/6 and current reimbursement period can be entered. </t>
    </r>
    <r>
      <rPr>
        <b/>
        <sz val="11"/>
        <color indexed="10"/>
        <rFont val="Calibri"/>
        <family val="2"/>
      </rPr>
      <t>However, there are many other combinations possible based on data availability and that TCAs and operators may end up having to use combinations of years which are not operationalised in the calculator. Please refer to guidance for advice on how to combine percentage changes over different years to calculate a compound percentage change across the whole 
period - the figure can be entered in Cell [C30]. 
It is important to use fare data on a like-with-like basis (i.e. covering a similar range of services) when making comparisons 
over time.</t>
    </r>
  </si>
  <si>
    <r>
      <t>Option (3) - National Bus Fare Index</t>
    </r>
    <r>
      <rPr>
        <sz val="11"/>
        <color indexed="8"/>
        <rFont val="Calibri"/>
        <family val="2"/>
      </rPr>
      <t>: This is the average change in fares by broad area derived from the DfT’s bus fare index, but using general estimates for 2005/06 and 2010/11 for which comparable data is not available. The Calculator already holds this data, so there is no need to enter data apart operator-specific data from 2010/11 onwards. Cell [C40] displays the nominal change in fares based on the Bus Index between 2005/06 and 2010/11 for ease of reference.</t>
    </r>
  </si>
  <si>
    <r>
      <t xml:space="preserve">To obtain up to date CPI index follow: </t>
    </r>
    <r>
      <rPr>
        <sz val="11"/>
        <color indexed="12"/>
        <rFont val="Calibri"/>
        <family val="2"/>
      </rPr>
      <t>http://www.ons.gov.uk/ons/datasets-and-tables/data-selector.html?cdid=D7BT&amp;dataset=mm23&amp;table-id=1.1</t>
    </r>
  </si>
  <si>
    <t>TOOL TO UPDATE CPI INDEX/GDP DEFLATOR</t>
  </si>
  <si>
    <t>Implies</t>
  </si>
  <si>
    <t>pax boardings/km of route/bus</t>
  </si>
  <si>
    <t>Default Percentage of Commercial Journeys</t>
  </si>
  <si>
    <t>pax boardings/km of route/hour</t>
  </si>
  <si>
    <t>One additional passenger has the following impacts:</t>
  </si>
  <si>
    <t>additional passenger/mile of route/hour</t>
  </si>
  <si>
    <t>Change in frequency (applying the mohring rule)</t>
  </si>
  <si>
    <t>s is speed</t>
  </si>
  <si>
    <t>L is route length</t>
  </si>
  <si>
    <t>Without marginal passenger</t>
  </si>
  <si>
    <t>With marginal passenger</t>
  </si>
  <si>
    <t>Vehicle hours/hr (To operate one side)</t>
  </si>
  <si>
    <t>Vehicle hours/hr (To operate both sides)</t>
  </si>
  <si>
    <t>Change in vehicle hours</t>
  </si>
  <si>
    <t>Vehicle hour cost per hour</t>
  </si>
  <si>
    <t>Additional vehicle hour cost</t>
  </si>
  <si>
    <t>Additional vehicle hour costs from generated passenger</t>
  </si>
  <si>
    <t>Vhr is vehicle hours</t>
  </si>
  <si>
    <t>Vm/hr(To operate one side)</t>
  </si>
  <si>
    <t>Vm/hr(To operate both sides)</t>
  </si>
  <si>
    <t>Change in vehicle miles</t>
  </si>
  <si>
    <t>Additional Vehicle mile costs from generated passenger</t>
  </si>
  <si>
    <t>Vehicle cost per mile</t>
  </si>
  <si>
    <t>Additional Vehile mile cost</t>
  </si>
  <si>
    <t>Commercial revenue generated from additional frequency</t>
  </si>
  <si>
    <t>Fare paying passengers' service frequency elasticity</t>
  </si>
  <si>
    <t>Short run</t>
  </si>
  <si>
    <t>Long run</t>
  </si>
  <si>
    <t>% Change in frequency</t>
  </si>
  <si>
    <t xml:space="preserve"> 10% change in service frequency leads to 6.6% change in commercial patronage</t>
  </si>
  <si>
    <t>implying % Change in commercial patronage</t>
  </si>
  <si>
    <t>Total boardings/hour (one way)</t>
  </si>
  <si>
    <t>Total boardings/hour (both sides)</t>
  </si>
  <si>
    <t>Commercial patronage as a proportion of total</t>
  </si>
  <si>
    <t>Commercial average fare</t>
  </si>
  <si>
    <t>implying revenue gain</t>
  </si>
  <si>
    <t>Increased cost from additional commercial passengers</t>
  </si>
  <si>
    <t>Marginal operating cost per additional passenger</t>
  </si>
  <si>
    <t>Implying additional cost from commercial passengers</t>
  </si>
  <si>
    <t>Additional vehicle mile cost</t>
  </si>
  <si>
    <t>Revenue gain from additional commercial passengers</t>
  </si>
  <si>
    <t>Additional marginal operating costs</t>
  </si>
  <si>
    <t>Net additional marginal capacity cost</t>
  </si>
  <si>
    <r>
      <t xml:space="preserve">Detailed workings are on the right     </t>
    </r>
    <r>
      <rPr>
        <sz val="11"/>
        <color indexed="12"/>
        <rFont val="Symbol"/>
        <family val="1"/>
      </rPr>
      <t>®</t>
    </r>
  </si>
  <si>
    <t>Result Page (Step 6)</t>
  </si>
  <si>
    <t>Marginal Operating Costs (£ per trip)</t>
  </si>
  <si>
    <r>
      <t xml:space="preserve">Enter the </t>
    </r>
    <r>
      <rPr>
        <b/>
        <sz val="11"/>
        <color indexed="8"/>
        <rFont val="Calibri"/>
        <family val="2"/>
      </rPr>
      <t xml:space="preserve">average weekly fare </t>
    </r>
    <r>
      <rPr>
        <sz val="11"/>
        <color indexed="8"/>
        <rFont val="Calibri"/>
        <family val="2"/>
      </rPr>
      <t>or the calculation period. If there are no weekly tickets available, click on button 'No weekly tickets' and the Calculator will automatically derive allocations based on cash fares and daily tickets.</t>
    </r>
  </si>
  <si>
    <r>
      <t xml:space="preserve">In Cells [D20:D24] enter updated GDP Deflator values </t>
    </r>
    <r>
      <rPr>
        <sz val="11"/>
        <color indexed="8"/>
        <rFont val="Calibri"/>
        <family val="2"/>
      </rPr>
      <t>obtained from the link given above. The data which was published at the time of the publication of the guidance can be seen in Cells [B1:C13].</t>
    </r>
  </si>
  <si>
    <r>
      <t xml:space="preserve">Click on </t>
    </r>
    <r>
      <rPr>
        <b/>
        <sz val="11"/>
        <color indexed="8"/>
        <rFont val="Calibri"/>
        <family val="2"/>
      </rPr>
      <t>'Revert to Original'</t>
    </r>
    <r>
      <rPr>
        <sz val="11"/>
        <color indexed="8"/>
        <rFont val="Calibri"/>
        <family val="2"/>
      </rPr>
      <t xml:space="preserve"> to revert to the original data series.</t>
    </r>
  </si>
  <si>
    <t>This spreadsheet tool is designed to assist Travel Concession Authorities (TCAs) and operators in calculating reimbursement due from concessionary fares schemes. It should be used in conjunction with the appropriate written DfT guidance, the latest version of which can be found on the DfT website.</t>
  </si>
  <si>
    <t>5.38-5.47</t>
  </si>
  <si>
    <t>5.45-5.46</t>
  </si>
  <si>
    <t>Enter Administration Costs: Enter locally determined administration costs</t>
  </si>
  <si>
    <t>Generation Factor (%)</t>
  </si>
  <si>
    <t>Average Fare Forgone (£)</t>
  </si>
  <si>
    <t>Reimbursement Factor (%)</t>
  </si>
  <si>
    <t>Total Reimbursement for Revenue Forgone (£)</t>
  </si>
  <si>
    <t>Total Marginal Operating Costs (£)</t>
  </si>
  <si>
    <t>Total Marginal Capacity Costs (£)</t>
  </si>
  <si>
    <t>Revenue Forgone</t>
  </si>
  <si>
    <t>Enter TCA-wide percentage change in nominal fare between 2005/6 and 2010/11</t>
  </si>
  <si>
    <t>Enter operator-specific percentage change in nominal fare between 2010/11 and current reimbursement period</t>
  </si>
  <si>
    <t>Enter TCA-wide percentage change in nominal fare between 2005/6 and current reimbursement period</t>
  </si>
  <si>
    <t>Scheme Administration Costs (£)</t>
  </si>
  <si>
    <t>This method allows to estimate the effective discount rate by calculating a weighted average fare per journey from assumed usage of different commercial ticket types.</t>
  </si>
  <si>
    <t>22a</t>
  </si>
  <si>
    <t>22b</t>
  </si>
  <si>
    <t>Current Average Fare Forgone</t>
  </si>
  <si>
    <t>Option (3) National Bus Fare Index</t>
  </si>
  <si>
    <t>OPTIONS</t>
  </si>
  <si>
    <t>Choose option for change in fares</t>
  </si>
  <si>
    <t xml:space="preserve">Option (1) Percentage change in operator-specific nominal  fares between 2005/6 and the current reimbursement period </t>
  </si>
  <si>
    <t>Option (2) TCA-wide change in nominal average fares</t>
  </si>
  <si>
    <t xml:space="preserve">Where </t>
  </si>
  <si>
    <t>χ is frequency in buses/hr</t>
  </si>
  <si>
    <t>B is pax boardings/hr/mile of route</t>
  </si>
  <si>
    <t>Use Default Trip Length</t>
  </si>
  <si>
    <t>Use Local Trip Length</t>
  </si>
  <si>
    <t>Current average Fare in 2005/6 prices</t>
  </si>
  <si>
    <t>Average daily ticket price</t>
  </si>
  <si>
    <t xml:space="preserve">Average weekly ticket price </t>
  </si>
  <si>
    <t>FINAL discount factor</t>
  </si>
  <si>
    <t>Assumed journeys per ticket purchased</t>
  </si>
  <si>
    <t>Implied revenue per journey (£s)</t>
  </si>
  <si>
    <t>% of total journeys with this ticket type</t>
  </si>
  <si>
    <t>6.4-6.10</t>
  </si>
  <si>
    <t>NET MARGINAL CAPACITY COSTS</t>
  </si>
  <si>
    <t>Average Fare Calculator (Step 2)</t>
  </si>
  <si>
    <t>Start Page (Step 1)</t>
  </si>
  <si>
    <t>Reimbursement Factor Calculator (Step 3)</t>
  </si>
  <si>
    <t>Speed (mph)</t>
  </si>
  <si>
    <t>Result page</t>
  </si>
  <si>
    <t>Generation Factor</t>
  </si>
  <si>
    <t>CPI Index</t>
  </si>
  <si>
    <t>Observed Concessionary Journeys</t>
  </si>
  <si>
    <t xml:space="preserve">k = </t>
  </si>
  <si>
    <t xml:space="preserve">λ = </t>
  </si>
  <si>
    <t>function</t>
  </si>
  <si>
    <t xml:space="preserve">b = </t>
  </si>
  <si>
    <t>Targets</t>
  </si>
  <si>
    <t xml:space="preserve">Elasticity at Fare (index) = 1 is equal to </t>
  </si>
  <si>
    <t>parameters</t>
  </si>
  <si>
    <t>Demand</t>
  </si>
  <si>
    <t xml:space="preserve">Factor* = </t>
  </si>
  <si>
    <t>Target</t>
  </si>
  <si>
    <t>→</t>
  </si>
  <si>
    <t xml:space="preserve"> </t>
  </si>
  <si>
    <t>parameters for lower piecewise section</t>
  </si>
  <si>
    <t>parameters approx single curve</t>
  </si>
  <si>
    <t>B</t>
  </si>
  <si>
    <t>Matches</t>
  </si>
  <si>
    <t>Shifted</t>
  </si>
  <si>
    <t>demand</t>
  </si>
  <si>
    <t>functions</t>
  </si>
  <si>
    <t>Revised</t>
  </si>
  <si>
    <t>Piecewise</t>
  </si>
  <si>
    <t xml:space="preserve">shifted </t>
  </si>
  <si>
    <t>Shifted demand functions</t>
  </si>
  <si>
    <t xml:space="preserve">Parameters </t>
  </si>
  <si>
    <t>for lower</t>
  </si>
  <si>
    <t>piecewise</t>
  </si>
  <si>
    <t>section</t>
  </si>
  <si>
    <t>for</t>
  </si>
  <si>
    <t>single</t>
  </si>
  <si>
    <t>curve</t>
  </si>
  <si>
    <t>Full fare</t>
  </si>
  <si>
    <t>abstraction</t>
  </si>
  <si>
    <t>rate</t>
  </si>
  <si>
    <t>*=Old Passholder trips/Total Trips (2008/9)(from Last 2010 Draft Report MCL/PTE, Table 5)</t>
  </si>
  <si>
    <t>Revised demand curve</t>
  </si>
  <si>
    <t xml:space="preserve">Elasticity at Fare Index = 1.061 is equal to </t>
  </si>
  <si>
    <t>for old-type passholders (2005/6 fares)</t>
  </si>
  <si>
    <t>for all passholders (2008/9 fares)</t>
  </si>
  <si>
    <t>ENTER OLD PAX RATIO CONCFARE/FREE</t>
  </si>
  <si>
    <t xml:space="preserve">Elast at Conc Fare (index) = 0.5 is equal to </t>
  </si>
  <si>
    <t xml:space="preserve">Elast at Conc Fare (index) = 0.36 is equal to </t>
  </si>
  <si>
    <t>Journeys per ticket</t>
  </si>
  <si>
    <t>Totals</t>
  </si>
  <si>
    <t>Total revenue</t>
  </si>
  <si>
    <t>Average revenue per journey</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</si>
</sst>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quot;£&quot;#,##0.00"/>
    <numFmt numFmtId="168" formatCode="#,##0.0"/>
    <numFmt numFmtId="169" formatCode="#,##0.000"/>
    <numFmt numFmtId="170" formatCode="&quot;£&quot;#,##0.000;[Red]\-&quot;£&quot;#,##0.000"/>
    <numFmt numFmtId="171" formatCode="0.0%"/>
    <numFmt numFmtId="172" formatCode="&quot;£&quot;#,##0"/>
    <numFmt numFmtId="173" formatCode="&quot;£&quot;#,##0.000"/>
    <numFmt numFmtId="174" formatCode="&quot;£&quot;#,##0.0000"/>
    <numFmt numFmtId="175" formatCode="#,##0_ ;\-#,##0\ "/>
    <numFmt numFmtId="176" formatCode="0.0000%"/>
    <numFmt numFmtId="177" formatCode="_-&quot;£&quot;* #,##0.000_-;\-&quot;£&quot;* #,##0.000_-;_-&quot;£&quot;* &quot;-&quot;???_-;_-@_-"/>
    <numFmt numFmtId="178" formatCode="0.0000000000000"/>
    <numFmt numFmtId="179" formatCode="0.000000000000"/>
    <numFmt numFmtId="180" formatCode="0.000000000000000"/>
    <numFmt numFmtId="181" formatCode="&quot;£&quot;#,##0.0000000;[Red]\-&quot;£&quot;#,##0.0000000"/>
    <numFmt numFmtId="182" formatCode="&quot;£&quot;#,##0.00000000000"/>
    <numFmt numFmtId="183" formatCode="&quot;£&quot;#,##0.00000000000;[Red]\-&quot;£&quot;#,##0.00000000000"/>
    <numFmt numFmtId="184" formatCode="&quot;£&quot;#,##0.0000;[Red]\-&quot;£&quot;#,##0.0000"/>
    <numFmt numFmtId="185" formatCode="&quot;£&quot;#,##0.00000;[Red]\-&quot;£&quot;#,##0.00000"/>
    <numFmt numFmtId="186" formatCode="&quot;£&quot;#,##0.000000;[Red]\-&quot;£&quot;#,##0.000000"/>
    <numFmt numFmtId="187" formatCode="&quot;£&quot;#,##0.00000000;[Red]\-&quot;£&quot;#,##0.00000000"/>
    <numFmt numFmtId="188" formatCode="&quot;£&quot;#,##0.000000000;[Red]\-&quot;£&quot;#,##0.000000000"/>
    <numFmt numFmtId="189" formatCode="&quot;£&quot;#,##0.0000000000;[Red]\-&quot;£&quot;#,##0.0000000000"/>
    <numFmt numFmtId="190" formatCode="&quot;£&quot;#,##0.000000000000;[Red]\-&quot;£&quot;#,##0.000000000000"/>
    <numFmt numFmtId="191" formatCode="&quot;£&quot;#,##0.0000000000000;[Red]\-&quot;£&quot;#,##0.0000000000000"/>
    <numFmt numFmtId="192" formatCode="0.0000000"/>
    <numFmt numFmtId="193" formatCode="0.000000"/>
    <numFmt numFmtId="194" formatCode="0.00000"/>
    <numFmt numFmtId="195" formatCode="&quot;£&quot;#,##0.00000"/>
    <numFmt numFmtId="196" formatCode="&quot;£&quot;#,##0.000000"/>
    <numFmt numFmtId="197" formatCode="0.00000000"/>
    <numFmt numFmtId="198" formatCode="&quot;£&quot;#,##0.0"/>
    <numFmt numFmtId="199" formatCode="&quot;Yes&quot;;&quot;Yes&quot;;&quot;No&quot;"/>
    <numFmt numFmtId="200" formatCode="&quot;True&quot;;&quot;True&quot;;&quot;False&quot;"/>
    <numFmt numFmtId="201" formatCode="&quot;On&quot;;&quot;On&quot;;&quot;Off&quot;"/>
    <numFmt numFmtId="202" formatCode="[$€-2]\ #,##0.00_);[Red]\([$€-2]\ #,##0.00\)"/>
    <numFmt numFmtId="203" formatCode="&quot;£&quot;#,##0.000;\-&quot;£&quot;#,##0.000"/>
    <numFmt numFmtId="204" formatCode="_-* #,##0_-;\-* #,##0_-;_-* &quot;-&quot;??_-;_-@_-"/>
  </numFmts>
  <fonts count="112">
    <font>
      <sz val="11"/>
      <color theme="1"/>
      <name val="Calibri"/>
      <family val="2"/>
    </font>
    <font>
      <sz val="11"/>
      <color indexed="8"/>
      <name val="Calibri"/>
      <family val="2"/>
    </font>
    <font>
      <sz val="11"/>
      <color indexed="10"/>
      <name val="Calibri"/>
      <family val="2"/>
    </font>
    <font>
      <b/>
      <sz val="11"/>
      <color indexed="8"/>
      <name val="Calibri"/>
      <family val="2"/>
    </font>
    <font>
      <b/>
      <sz val="11"/>
      <color indexed="10"/>
      <name val="Calibri"/>
      <family val="2"/>
    </font>
    <font>
      <sz val="11"/>
      <color indexed="62"/>
      <name val="Calibri"/>
      <family val="2"/>
    </font>
    <font>
      <b/>
      <sz val="11"/>
      <color indexed="62"/>
      <name val="Calibri"/>
      <family val="2"/>
    </font>
    <font>
      <sz val="11"/>
      <name val="Calibri"/>
      <family val="2"/>
    </font>
    <font>
      <b/>
      <sz val="11"/>
      <name val="Calibri"/>
      <family val="2"/>
    </font>
    <font>
      <b/>
      <sz val="11"/>
      <color indexed="36"/>
      <name val="Calibri"/>
      <family val="2"/>
    </font>
    <font>
      <sz val="11"/>
      <color indexed="36"/>
      <name val="Calibri"/>
      <family val="2"/>
    </font>
    <font>
      <sz val="8"/>
      <name val="Calibri"/>
      <family val="2"/>
    </font>
    <font>
      <sz val="11"/>
      <color indexed="43"/>
      <name val="Calibri"/>
      <family val="2"/>
    </font>
    <font>
      <sz val="11"/>
      <color indexed="8"/>
      <name val="Arial"/>
      <family val="2"/>
    </font>
    <font>
      <b/>
      <sz val="12"/>
      <color indexed="8"/>
      <name val="Arial"/>
      <family val="2"/>
    </font>
    <font>
      <b/>
      <sz val="11"/>
      <color indexed="8"/>
      <name val="Arial"/>
      <family val="2"/>
    </font>
    <font>
      <sz val="11"/>
      <name val="Arial"/>
      <family val="2"/>
    </font>
    <font>
      <b/>
      <sz val="11"/>
      <name val="Arial"/>
      <family val="2"/>
    </font>
    <font>
      <sz val="12"/>
      <name val="Arial"/>
      <family val="2"/>
    </font>
    <font>
      <u val="single"/>
      <sz val="11"/>
      <color indexed="36"/>
      <name val="Calibri"/>
      <family val="2"/>
    </font>
    <font>
      <u val="single"/>
      <sz val="11"/>
      <color indexed="12"/>
      <name val="Calibri"/>
      <family val="2"/>
    </font>
    <font>
      <sz val="11"/>
      <color indexed="12"/>
      <name val="Calibri"/>
      <family val="2"/>
    </font>
    <font>
      <sz val="11"/>
      <color indexed="23"/>
      <name val="Arial"/>
      <family val="2"/>
    </font>
    <font>
      <b/>
      <sz val="16"/>
      <name val="Arial"/>
      <family val="2"/>
    </font>
    <font>
      <b/>
      <sz val="11"/>
      <color indexed="12"/>
      <name val="Arial"/>
      <family val="2"/>
    </font>
    <font>
      <sz val="11"/>
      <color indexed="12"/>
      <name val="Arial"/>
      <family val="2"/>
    </font>
    <font>
      <sz val="11"/>
      <color indexed="22"/>
      <name val="Arial"/>
      <family val="2"/>
    </font>
    <font>
      <sz val="12"/>
      <color indexed="8"/>
      <name val="Arial"/>
      <family val="2"/>
    </font>
    <font>
      <sz val="10"/>
      <name val="Arial"/>
      <family val="2"/>
    </font>
    <font>
      <sz val="8"/>
      <name val="Arial"/>
      <family val="2"/>
    </font>
    <font>
      <b/>
      <sz val="12"/>
      <name val="Arial"/>
      <family val="2"/>
    </font>
    <font>
      <sz val="12"/>
      <color indexed="8"/>
      <name val="Calibri"/>
      <family val="2"/>
    </font>
    <font>
      <sz val="11"/>
      <color indexed="9"/>
      <name val="Calibri"/>
      <family val="2"/>
    </font>
    <font>
      <b/>
      <sz val="11"/>
      <color indexed="9"/>
      <name val="Calibri"/>
      <family val="2"/>
    </font>
    <font>
      <sz val="11"/>
      <color indexed="17"/>
      <name val="Calibri"/>
      <family val="2"/>
    </font>
    <font>
      <b/>
      <sz val="10"/>
      <color indexed="12"/>
      <name val="Calibri"/>
      <family val="2"/>
    </font>
    <font>
      <u val="single"/>
      <sz val="12"/>
      <color indexed="12"/>
      <name val="Calibri"/>
      <family val="2"/>
    </font>
    <font>
      <sz val="11"/>
      <color indexed="53"/>
      <name val="Calibri"/>
      <family val="2"/>
    </font>
    <font>
      <b/>
      <sz val="14"/>
      <color indexed="8"/>
      <name val="Calibri"/>
      <family val="2"/>
    </font>
    <font>
      <b/>
      <sz val="12"/>
      <color indexed="8"/>
      <name val="Calibri"/>
      <family val="2"/>
    </font>
    <font>
      <sz val="10"/>
      <name val="Calibri"/>
      <family val="2"/>
    </font>
    <font>
      <sz val="12"/>
      <color indexed="9"/>
      <name val="Calibri"/>
      <family val="2"/>
    </font>
    <font>
      <sz val="12"/>
      <name val="Calibri"/>
      <family val="2"/>
    </font>
    <font>
      <b/>
      <sz val="16"/>
      <color indexed="8"/>
      <name val="Calibri"/>
      <family val="2"/>
    </font>
    <font>
      <b/>
      <sz val="12"/>
      <name val="Calibri"/>
      <family val="2"/>
    </font>
    <font>
      <b/>
      <sz val="12"/>
      <color indexed="10"/>
      <name val="Calibri"/>
      <family val="2"/>
    </font>
    <font>
      <b/>
      <sz val="22"/>
      <color indexed="8"/>
      <name val="Calibri"/>
      <family val="2"/>
    </font>
    <font>
      <sz val="10"/>
      <name val="Times New Roman"/>
      <family val="1"/>
    </font>
    <font>
      <b/>
      <sz val="16"/>
      <name val="Calibri"/>
      <family val="2"/>
    </font>
    <font>
      <b/>
      <sz val="18"/>
      <color indexed="8"/>
      <name val="Calibri"/>
      <family val="2"/>
    </font>
    <font>
      <u val="single"/>
      <sz val="12"/>
      <name val="Calibri"/>
      <family val="2"/>
    </font>
    <font>
      <sz val="12"/>
      <color indexed="10"/>
      <name val="Calibri"/>
      <family val="2"/>
    </font>
    <font>
      <u val="single"/>
      <sz val="12"/>
      <color indexed="8"/>
      <name val="Calibri"/>
      <family val="2"/>
    </font>
    <font>
      <sz val="12"/>
      <color indexed="43"/>
      <name val="Calibri"/>
      <family val="2"/>
    </font>
    <font>
      <b/>
      <sz val="20"/>
      <color indexed="8"/>
      <name val="Calibri"/>
      <family val="2"/>
    </font>
    <font>
      <b/>
      <sz val="12"/>
      <color indexed="9"/>
      <name val="Calibri"/>
      <family val="2"/>
    </font>
    <font>
      <sz val="14"/>
      <color indexed="8"/>
      <name val="Calibri"/>
      <family val="2"/>
    </font>
    <font>
      <b/>
      <sz val="24"/>
      <color indexed="8"/>
      <name val="Calibri"/>
      <family val="2"/>
    </font>
    <font>
      <sz val="11"/>
      <color indexed="23"/>
      <name val="Calibri"/>
      <family val="2"/>
    </font>
    <font>
      <b/>
      <sz val="10"/>
      <name val="Calibri"/>
      <family val="2"/>
    </font>
    <font>
      <sz val="11"/>
      <color indexed="56"/>
      <name val="Calibri"/>
      <family val="2"/>
    </font>
    <font>
      <sz val="10"/>
      <color indexed="8"/>
      <name val="Calibri"/>
      <family val="2"/>
    </font>
    <font>
      <b/>
      <sz val="20"/>
      <color indexed="21"/>
      <name val="Calibri"/>
      <family val="2"/>
    </font>
    <font>
      <b/>
      <sz val="18"/>
      <color indexed="21"/>
      <name val="Calibri"/>
      <family val="2"/>
    </font>
    <font>
      <sz val="18"/>
      <color indexed="8"/>
      <name val="Calibri"/>
      <family val="2"/>
    </font>
    <font>
      <b/>
      <sz val="10"/>
      <color indexed="8"/>
      <name val="Calibri"/>
      <family val="2"/>
    </font>
    <font>
      <sz val="11"/>
      <color indexed="12"/>
      <name val="Symbol"/>
      <family val="1"/>
    </font>
    <font>
      <sz val="16"/>
      <color indexed="8"/>
      <name val="Calibri"/>
      <family val="2"/>
    </font>
    <font>
      <sz val="12"/>
      <color indexed="48"/>
      <name val="Calibri"/>
      <family val="2"/>
    </font>
    <font>
      <sz val="12"/>
      <color indexed="61"/>
      <name val="Calibri"/>
      <family val="2"/>
    </font>
    <font>
      <b/>
      <sz val="12"/>
      <color indexed="53"/>
      <name val="Calibri"/>
      <family val="2"/>
    </font>
    <font>
      <b/>
      <sz val="12"/>
      <color indexed="61"/>
      <name val="Calibri"/>
      <family val="2"/>
    </font>
    <font>
      <b/>
      <sz val="12"/>
      <color indexed="48"/>
      <name val="Calibri"/>
      <family val="2"/>
    </font>
    <font>
      <sz val="10"/>
      <color indexed="10"/>
      <name val="Arial"/>
      <family val="2"/>
    </font>
    <font>
      <b/>
      <sz val="10"/>
      <name val="Times New Roman"/>
      <family val="1"/>
    </font>
    <font>
      <b/>
      <sz val="10"/>
      <color indexed="12"/>
      <name val="Arial"/>
      <family val="2"/>
    </font>
    <font>
      <i/>
      <sz val="12"/>
      <color indexed="8"/>
      <name val="Calibri"/>
      <family val="2"/>
    </font>
    <font>
      <i/>
      <sz val="12"/>
      <color indexed="8"/>
      <name val="Arial"/>
      <family val="2"/>
    </font>
    <font>
      <b/>
      <u val="single"/>
      <sz val="12"/>
      <color indexed="8"/>
      <name val="Calibri"/>
      <family val="2"/>
    </font>
    <font>
      <b/>
      <sz val="11"/>
      <color indexed="21"/>
      <name val="Calibri"/>
      <family val="2"/>
    </font>
    <font>
      <b/>
      <sz val="11"/>
      <color indexed="12"/>
      <name val="Calibri"/>
      <family val="2"/>
    </font>
    <font>
      <sz val="10"/>
      <color indexed="12"/>
      <name val="Arial"/>
      <family val="2"/>
    </font>
    <font>
      <sz val="10"/>
      <color indexed="14"/>
      <name val="Arial"/>
      <family val="2"/>
    </font>
    <font>
      <i/>
      <sz val="10"/>
      <name val="Arial"/>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Tahoma"/>
      <family val="2"/>
    </font>
    <font>
      <sz val="9.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0"/>
        <bgColor indexed="64"/>
      </patternFill>
    </fill>
    <fill>
      <patternFill patternType="solid">
        <fgColor indexed="50"/>
        <bgColor indexed="64"/>
      </patternFill>
    </fill>
    <fill>
      <patternFill patternType="solid">
        <fgColor indexed="44"/>
        <bgColor indexed="64"/>
      </patternFill>
    </fill>
    <fill>
      <patternFill patternType="solid">
        <fgColor indexed="53"/>
        <bgColor indexed="64"/>
      </patternFill>
    </fill>
    <fill>
      <patternFill patternType="solid">
        <fgColor indexed="12"/>
        <bgColor indexed="64"/>
      </patternFill>
    </fill>
    <fill>
      <patternFill patternType="solid">
        <fgColor indexed="41"/>
        <bgColor indexed="64"/>
      </patternFill>
    </fill>
    <fill>
      <patternFill patternType="solid">
        <fgColor indexed="22"/>
        <bgColor indexed="64"/>
      </patternFill>
    </fill>
    <fill>
      <patternFill patternType="solid">
        <fgColor indexed="14"/>
        <bgColor indexed="64"/>
      </patternFill>
    </fill>
    <fill>
      <patternFill patternType="solid">
        <fgColor indexed="47"/>
        <bgColor indexed="64"/>
      </patternFill>
    </fill>
    <fill>
      <patternFill patternType="solid">
        <fgColor indexed="43"/>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top style="thin"/>
      <bottom/>
    </border>
    <border>
      <left style="medium"/>
      <right>
        <color indexed="63"/>
      </right>
      <top style="medium"/>
      <bottom style="medium"/>
    </border>
    <border>
      <left/>
      <right style="thin"/>
      <top style="thin"/>
      <bottom style="thin"/>
    </border>
    <border>
      <left style="thin"/>
      <right/>
      <top style="thin"/>
      <bottom style="thin"/>
    </border>
    <border>
      <left style="thin"/>
      <right style="thin"/>
      <top style="thin"/>
      <bottom style="thin"/>
    </border>
    <border>
      <left/>
      <right style="thin"/>
      <top/>
      <bottom style="thin"/>
    </border>
    <border>
      <left style="thin"/>
      <right/>
      <top/>
      <bottom style="thin"/>
    </border>
    <border>
      <left/>
      <right/>
      <top style="thin"/>
      <bottom/>
    </border>
    <border>
      <left/>
      <right/>
      <top/>
      <bottom style="thin"/>
    </border>
    <border>
      <left style="thin"/>
      <right style="thin"/>
      <top>
        <color indexed="63"/>
      </top>
      <bottom style="thin"/>
    </border>
    <border>
      <left/>
      <right/>
      <top style="thin"/>
      <bottom style="thin"/>
    </border>
    <border>
      <left style="thin"/>
      <right/>
      <top/>
      <bottom/>
    </border>
    <border>
      <left style="thin"/>
      <right style="thin"/>
      <top/>
      <bottom/>
    </border>
    <border>
      <left/>
      <right style="thin"/>
      <top/>
      <bottom/>
    </border>
    <border>
      <left>
        <color indexed="63"/>
      </left>
      <right>
        <color indexed="63"/>
      </right>
      <top>
        <color indexed="63"/>
      </top>
      <bottom style="medium"/>
    </border>
    <border>
      <left style="thin"/>
      <right style="thin"/>
      <top style="thin"/>
      <botto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thin"/>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color indexed="63"/>
      </botto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style="medium"/>
      <top style="medium"/>
      <bottom style="thin"/>
    </border>
    <border>
      <left style="medium"/>
      <right style="medium"/>
      <top style="thin"/>
      <bottom style="thin"/>
    </border>
    <border>
      <left style="medium"/>
      <right>
        <color indexed="63"/>
      </right>
      <top style="medium"/>
      <bottom style="thin"/>
    </border>
    <border>
      <left>
        <color indexed="63"/>
      </left>
      <right style="medium"/>
      <top style="medium"/>
      <bottom style="thin"/>
    </border>
    <border>
      <left style="medium"/>
      <right/>
      <top style="thin"/>
      <bottom style="medium"/>
    </border>
    <border>
      <left/>
      <right/>
      <top style="thin"/>
      <bottom style="medium"/>
    </border>
    <border>
      <left/>
      <right style="thin"/>
      <top style="thin"/>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0"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7" fillId="25" borderId="0" applyNumberFormat="0" applyBorder="0" applyAlignment="0" applyProtection="0"/>
    <xf numFmtId="0" fontId="98" fillId="26" borderId="1" applyNumberFormat="0" applyAlignment="0" applyProtection="0"/>
    <xf numFmtId="0" fontId="99"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0" fillId="0" borderId="0" applyNumberFormat="0" applyFill="0" applyBorder="0" applyAlignment="0" applyProtection="0"/>
    <xf numFmtId="0" fontId="19" fillId="0" borderId="0" applyNumberFormat="0" applyFill="0" applyBorder="0" applyAlignment="0" applyProtection="0"/>
    <xf numFmtId="0" fontId="101" fillId="28"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20" fillId="0" borderId="0" applyNumberFormat="0" applyFill="0" applyBorder="0" applyAlignment="0" applyProtection="0"/>
    <xf numFmtId="0" fontId="105" fillId="29" borderId="1" applyNumberFormat="0" applyAlignment="0" applyProtection="0"/>
    <xf numFmtId="0" fontId="106" fillId="0" borderId="6" applyNumberFormat="0" applyFill="0" applyAlignment="0" applyProtection="0"/>
    <xf numFmtId="0" fontId="107"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7" fillId="0" borderId="0">
      <alignment/>
      <protection/>
    </xf>
    <xf numFmtId="0" fontId="28" fillId="0" borderId="0">
      <alignment/>
      <protection/>
    </xf>
    <xf numFmtId="0" fontId="28" fillId="0" borderId="0">
      <alignment/>
      <protection/>
    </xf>
    <xf numFmtId="0" fontId="1" fillId="31" borderId="7" applyNumberFormat="0" applyFont="0" applyAlignment="0" applyProtection="0"/>
    <xf numFmtId="0" fontId="108" fillId="26" borderId="8" applyNumberFormat="0" applyAlignment="0" applyProtection="0"/>
    <xf numFmtId="9" fontId="1" fillId="0" borderId="0" applyFont="0" applyFill="0" applyBorder="0" applyAlignment="0" applyProtection="0"/>
    <xf numFmtId="9" fontId="0"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997">
    <xf numFmtId="0" fontId="0" fillId="0" borderId="0" xfId="0" applyFont="1" applyAlignment="1">
      <alignment/>
    </xf>
    <xf numFmtId="0" fontId="0" fillId="0" borderId="0" xfId="0" applyAlignment="1" quotePrefix="1">
      <alignment horizontal="right"/>
    </xf>
    <xf numFmtId="0" fontId="0" fillId="0" borderId="0" xfId="0" applyAlignment="1">
      <alignment horizontal="right"/>
    </xf>
    <xf numFmtId="164" fontId="0" fillId="0" borderId="0" xfId="0" applyNumberFormat="1" applyAlignment="1">
      <alignment horizontal="center"/>
    </xf>
    <xf numFmtId="0" fontId="0" fillId="32" borderId="0" xfId="0" applyFill="1" applyAlignment="1">
      <alignment/>
    </xf>
    <xf numFmtId="2" fontId="0" fillId="0" borderId="0" xfId="0" applyNumberFormat="1" applyAlignment="1">
      <alignment/>
    </xf>
    <xf numFmtId="0" fontId="0" fillId="0" borderId="0" xfId="0" applyAlignment="1" quotePrefix="1">
      <alignment/>
    </xf>
    <xf numFmtId="164" fontId="3" fillId="0" borderId="0" xfId="0" applyNumberFormat="1" applyFont="1" applyAlignment="1">
      <alignment horizontal="center"/>
    </xf>
    <xf numFmtId="0" fontId="2" fillId="0" borderId="0" xfId="0" applyFont="1" applyAlignment="1">
      <alignment/>
    </xf>
    <xf numFmtId="0" fontId="2" fillId="0" borderId="0" xfId="0" applyFont="1" applyAlignment="1">
      <alignment horizontal="center"/>
    </xf>
    <xf numFmtId="164" fontId="2" fillId="0" borderId="0" xfId="0" applyNumberFormat="1" applyFont="1" applyAlignment="1">
      <alignment horizontal="center"/>
    </xf>
    <xf numFmtId="164" fontId="4" fillId="0" borderId="0" xfId="0" applyNumberFormat="1" applyFont="1" applyAlignment="1">
      <alignment horizontal="center"/>
    </xf>
    <xf numFmtId="0" fontId="2" fillId="0" borderId="0" xfId="0" applyFont="1" applyAlignment="1" quotePrefix="1">
      <alignment horizontal="right"/>
    </xf>
    <xf numFmtId="0" fontId="5" fillId="0" borderId="0" xfId="0" applyFont="1" applyAlignment="1">
      <alignment/>
    </xf>
    <xf numFmtId="164" fontId="6" fillId="0" borderId="0" xfId="0" applyNumberFormat="1" applyFont="1" applyAlignment="1">
      <alignment horizontal="center"/>
    </xf>
    <xf numFmtId="164" fontId="5" fillId="0" borderId="0" xfId="0" applyNumberFormat="1" applyFont="1" applyAlignment="1">
      <alignment horizontal="center"/>
    </xf>
    <xf numFmtId="0" fontId="3" fillId="0" borderId="0" xfId="0" applyFont="1" applyAlignment="1">
      <alignment/>
    </xf>
    <xf numFmtId="164" fontId="3" fillId="0" borderId="0" xfId="0" applyNumberFormat="1" applyFont="1" applyAlignment="1">
      <alignment/>
    </xf>
    <xf numFmtId="164" fontId="6" fillId="0" borderId="0" xfId="0" applyNumberFormat="1" applyFont="1" applyAlignment="1">
      <alignment/>
    </xf>
    <xf numFmtId="0" fontId="4" fillId="0" borderId="0" xfId="0" applyFont="1" applyAlignment="1">
      <alignment horizontal="center"/>
    </xf>
    <xf numFmtId="0" fontId="6" fillId="0" borderId="0" xfId="0" applyFont="1" applyAlignment="1">
      <alignment horizontal="center"/>
    </xf>
    <xf numFmtId="0" fontId="7" fillId="0" borderId="0" xfId="0" applyFont="1" applyAlignment="1">
      <alignment/>
    </xf>
    <xf numFmtId="164" fontId="7" fillId="0" borderId="0" xfId="0" applyNumberFormat="1" applyFont="1" applyAlignment="1">
      <alignment horizontal="center"/>
    </xf>
    <xf numFmtId="164" fontId="8" fillId="0" borderId="0" xfId="0" applyNumberFormat="1" applyFont="1" applyAlignment="1">
      <alignment horizontal="center"/>
    </xf>
    <xf numFmtId="0" fontId="7" fillId="0" borderId="0" xfId="0" applyFont="1" applyAlignment="1">
      <alignment horizontal="center"/>
    </xf>
    <xf numFmtId="0" fontId="9" fillId="0" borderId="0" xfId="0" applyFont="1" applyAlignment="1">
      <alignment/>
    </xf>
    <xf numFmtId="0" fontId="0" fillId="33" borderId="0" xfId="0" applyFill="1" applyAlignment="1">
      <alignment/>
    </xf>
    <xf numFmtId="0" fontId="0" fillId="34" borderId="0" xfId="0" applyFill="1" applyAlignment="1">
      <alignment/>
    </xf>
    <xf numFmtId="164" fontId="3" fillId="34" borderId="0" xfId="0" applyNumberFormat="1" applyFont="1" applyFill="1" applyAlignment="1">
      <alignment/>
    </xf>
    <xf numFmtId="164" fontId="4" fillId="34" borderId="0" xfId="0" applyNumberFormat="1" applyFont="1" applyFill="1" applyAlignment="1">
      <alignment horizontal="center"/>
    </xf>
    <xf numFmtId="164" fontId="6" fillId="34" borderId="0" xfId="0" applyNumberFormat="1" applyFont="1" applyFill="1" applyAlignment="1">
      <alignment/>
    </xf>
    <xf numFmtId="164" fontId="6" fillId="34" borderId="0" xfId="0" applyNumberFormat="1" applyFont="1" applyFill="1" applyAlignment="1">
      <alignment horizontal="center"/>
    </xf>
    <xf numFmtId="164" fontId="9" fillId="34" borderId="0" xfId="0" applyNumberFormat="1" applyFont="1" applyFill="1" applyAlignment="1">
      <alignment horizontal="center"/>
    </xf>
    <xf numFmtId="0" fontId="10" fillId="35" borderId="0" xfId="0" applyFont="1" applyFill="1" applyAlignment="1">
      <alignment/>
    </xf>
    <xf numFmtId="0" fontId="2" fillId="33" borderId="0" xfId="0" applyFont="1" applyFill="1" applyAlignment="1">
      <alignment horizontal="right"/>
    </xf>
    <xf numFmtId="0" fontId="2" fillId="33" borderId="0" xfId="0" applyFont="1" applyFill="1" applyAlignment="1">
      <alignment/>
    </xf>
    <xf numFmtId="0" fontId="5" fillId="33" borderId="0" xfId="0" applyFont="1" applyFill="1" applyAlignment="1">
      <alignment/>
    </xf>
    <xf numFmtId="0" fontId="7" fillId="34" borderId="0" xfId="0" applyFont="1" applyFill="1" applyAlignment="1">
      <alignment/>
    </xf>
    <xf numFmtId="2" fontId="0" fillId="34" borderId="0" xfId="0" applyNumberFormat="1" applyFill="1" applyAlignment="1">
      <alignment/>
    </xf>
    <xf numFmtId="0" fontId="0" fillId="0" borderId="0" xfId="0" applyAlignment="1">
      <alignment horizontal="center"/>
    </xf>
    <xf numFmtId="0" fontId="0" fillId="35" borderId="0" xfId="0" applyFill="1" applyAlignment="1">
      <alignment/>
    </xf>
    <xf numFmtId="0" fontId="7" fillId="0" borderId="0" xfId="0" applyFont="1" applyFill="1" applyAlignment="1">
      <alignment/>
    </xf>
    <xf numFmtId="165" fontId="3" fillId="35" borderId="0" xfId="0" applyNumberFormat="1" applyFont="1" applyFill="1" applyAlignment="1">
      <alignment/>
    </xf>
    <xf numFmtId="2" fontId="0" fillId="0" borderId="0" xfId="0" applyNumberFormat="1" applyFill="1" applyAlignment="1">
      <alignment/>
    </xf>
    <xf numFmtId="0" fontId="13" fillId="0" borderId="10" xfId="0" applyFont="1" applyBorder="1" applyAlignment="1">
      <alignment/>
    </xf>
    <xf numFmtId="0" fontId="13" fillId="0" borderId="0" xfId="0" applyFont="1" applyBorder="1" applyAlignment="1">
      <alignment/>
    </xf>
    <xf numFmtId="0" fontId="13" fillId="0" borderId="11" xfId="0" applyFont="1" applyBorder="1" applyAlignment="1">
      <alignment/>
    </xf>
    <xf numFmtId="0" fontId="15" fillId="0" borderId="0" xfId="0" applyFont="1" applyBorder="1" applyAlignment="1">
      <alignment/>
    </xf>
    <xf numFmtId="0" fontId="13" fillId="0" borderId="12" xfId="0" applyFont="1" applyBorder="1" applyAlignment="1">
      <alignment/>
    </xf>
    <xf numFmtId="0" fontId="13" fillId="0" borderId="0" xfId="0" applyFont="1" applyBorder="1" applyAlignment="1">
      <alignment horizontal="center"/>
    </xf>
    <xf numFmtId="0" fontId="13" fillId="0" borderId="0" xfId="0" applyFont="1" applyAlignment="1">
      <alignment/>
    </xf>
    <xf numFmtId="0" fontId="0" fillId="0" borderId="0" xfId="0" applyFill="1" applyBorder="1" applyAlignment="1">
      <alignment/>
    </xf>
    <xf numFmtId="0" fontId="7" fillId="0" borderId="0" xfId="0" applyFont="1" applyFill="1" applyAlignment="1">
      <alignment horizontal="center"/>
    </xf>
    <xf numFmtId="0" fontId="13" fillId="0" borderId="0" xfId="0" applyFont="1" applyFill="1" applyBorder="1" applyAlignment="1">
      <alignment/>
    </xf>
    <xf numFmtId="0" fontId="16" fillId="0" borderId="12" xfId="0" applyFont="1" applyBorder="1" applyAlignment="1">
      <alignment/>
    </xf>
    <xf numFmtId="0" fontId="16" fillId="0" borderId="0" xfId="63" applyFont="1">
      <alignment/>
      <protection/>
    </xf>
    <xf numFmtId="0" fontId="13" fillId="0" borderId="13" xfId="0" applyFont="1" applyBorder="1" applyAlignment="1">
      <alignment/>
    </xf>
    <xf numFmtId="0" fontId="16" fillId="0" borderId="13" xfId="0" applyFont="1" applyBorder="1" applyAlignment="1">
      <alignment/>
    </xf>
    <xf numFmtId="0" fontId="16" fillId="0" borderId="14" xfId="0" applyFont="1" applyBorder="1" applyAlignment="1">
      <alignment/>
    </xf>
    <xf numFmtId="0" fontId="13" fillId="0" borderId="14" xfId="0" applyFont="1" applyBorder="1" applyAlignment="1">
      <alignment/>
    </xf>
    <xf numFmtId="0" fontId="27" fillId="0" borderId="0" xfId="0" applyFont="1" applyAlignment="1">
      <alignment/>
    </xf>
    <xf numFmtId="0" fontId="27" fillId="0" borderId="10" xfId="0" applyFont="1" applyBorder="1" applyAlignment="1">
      <alignment/>
    </xf>
    <xf numFmtId="0" fontId="23" fillId="0" borderId="0" xfId="64" applyFont="1" applyFill="1" applyAlignment="1">
      <alignment horizontal="left"/>
      <protection/>
    </xf>
    <xf numFmtId="0" fontId="16" fillId="0" borderId="0" xfId="64" applyFont="1" applyFill="1">
      <alignment/>
      <protection/>
    </xf>
    <xf numFmtId="0" fontId="7" fillId="0" borderId="0" xfId="64" applyFont="1" applyFill="1">
      <alignment/>
      <protection/>
    </xf>
    <xf numFmtId="0" fontId="17" fillId="0" borderId="0" xfId="64" applyFont="1" applyFill="1" applyAlignment="1">
      <alignment horizontal="left"/>
      <protection/>
    </xf>
    <xf numFmtId="0" fontId="13" fillId="0" borderId="0" xfId="64" applyFont="1" applyAlignment="1">
      <alignment horizontal="center"/>
      <protection/>
    </xf>
    <xf numFmtId="0" fontId="13" fillId="0" borderId="0" xfId="64" applyFont="1">
      <alignment/>
      <protection/>
    </xf>
    <xf numFmtId="0" fontId="28" fillId="0" borderId="0" xfId="64">
      <alignment/>
      <protection/>
    </xf>
    <xf numFmtId="0" fontId="13" fillId="0" borderId="15" xfId="64" applyFont="1" applyBorder="1" applyAlignment="1">
      <alignment horizontal="center" vertical="center" wrapText="1"/>
      <protection/>
    </xf>
    <xf numFmtId="0" fontId="15" fillId="0" borderId="16" xfId="64" applyFont="1" applyBorder="1">
      <alignment/>
      <protection/>
    </xf>
    <xf numFmtId="0" fontId="15" fillId="0" borderId="12" xfId="64" applyFont="1" applyBorder="1">
      <alignment/>
      <protection/>
    </xf>
    <xf numFmtId="0" fontId="13" fillId="0" borderId="0" xfId="64" applyFont="1" applyFill="1">
      <alignment/>
      <protection/>
    </xf>
    <xf numFmtId="0" fontId="28" fillId="0" borderId="0" xfId="64" applyFill="1">
      <alignment/>
      <protection/>
    </xf>
    <xf numFmtId="164" fontId="13" fillId="36" borderId="17" xfId="64" applyNumberFormat="1" applyFont="1" applyFill="1" applyBorder="1" applyAlignment="1">
      <alignment horizontal="center" vertical="center"/>
      <protection/>
    </xf>
    <xf numFmtId="2" fontId="13" fillId="0" borderId="18" xfId="64" applyNumberFormat="1" applyFont="1" applyBorder="1" applyAlignment="1">
      <alignment horizontal="center"/>
      <protection/>
    </xf>
    <xf numFmtId="0" fontId="13" fillId="0" borderId="0" xfId="64" applyFont="1" applyFill="1" applyAlignment="1">
      <alignment horizontal="left"/>
      <protection/>
    </xf>
    <xf numFmtId="0" fontId="13" fillId="0" borderId="0" xfId="64" applyFont="1" applyFill="1" applyAlignment="1">
      <alignment horizontal="right"/>
      <protection/>
    </xf>
    <xf numFmtId="0" fontId="13" fillId="0" borderId="19" xfId="64" applyFont="1" applyBorder="1">
      <alignment/>
      <protection/>
    </xf>
    <xf numFmtId="164" fontId="13" fillId="36" borderId="20" xfId="64" applyNumberFormat="1" applyFont="1" applyFill="1" applyBorder="1" applyAlignment="1">
      <alignment horizontal="center" vertical="center"/>
      <protection/>
    </xf>
    <xf numFmtId="2" fontId="13" fillId="0" borderId="21" xfId="64" applyNumberFormat="1" applyFont="1" applyBorder="1" applyAlignment="1">
      <alignment horizontal="center"/>
      <protection/>
    </xf>
    <xf numFmtId="0" fontId="13" fillId="0" borderId="19" xfId="64" applyFont="1" applyBorder="1" applyAlignment="1">
      <alignment horizontal="right"/>
      <protection/>
    </xf>
    <xf numFmtId="2" fontId="13" fillId="0" borderId="19" xfId="64" applyNumberFormat="1" applyFont="1" applyBorder="1">
      <alignment/>
      <protection/>
    </xf>
    <xf numFmtId="0" fontId="13" fillId="0" borderId="22" xfId="64" applyFont="1" applyBorder="1">
      <alignment/>
      <protection/>
    </xf>
    <xf numFmtId="175" fontId="13" fillId="0" borderId="19" xfId="64" applyNumberFormat="1" applyFont="1" applyBorder="1">
      <alignment/>
      <protection/>
    </xf>
    <xf numFmtId="0" fontId="13" fillId="0" borderId="0" xfId="64" applyFont="1" applyBorder="1">
      <alignment/>
      <protection/>
    </xf>
    <xf numFmtId="175" fontId="13" fillId="0" borderId="0" xfId="64" applyNumberFormat="1" applyFont="1" applyFill="1" applyBorder="1">
      <alignment/>
      <protection/>
    </xf>
    <xf numFmtId="167" fontId="13" fillId="0" borderId="19" xfId="64" applyNumberFormat="1" applyFont="1" applyBorder="1">
      <alignment/>
      <protection/>
    </xf>
    <xf numFmtId="0" fontId="13" fillId="0" borderId="23" xfId="64" applyFont="1" applyBorder="1">
      <alignment/>
      <protection/>
    </xf>
    <xf numFmtId="165" fontId="13" fillId="0" borderId="19" xfId="64" applyNumberFormat="1" applyFont="1" applyBorder="1">
      <alignment/>
      <protection/>
    </xf>
    <xf numFmtId="175" fontId="13" fillId="0" borderId="24" xfId="64" applyNumberFormat="1" applyFont="1" applyBorder="1">
      <alignment/>
      <protection/>
    </xf>
    <xf numFmtId="0" fontId="13" fillId="4" borderId="19" xfId="64" applyFont="1" applyFill="1" applyBorder="1">
      <alignment/>
      <protection/>
    </xf>
    <xf numFmtId="167" fontId="13" fillId="4" borderId="19" xfId="64" applyNumberFormat="1" applyFont="1" applyFill="1" applyBorder="1">
      <alignment/>
      <protection/>
    </xf>
    <xf numFmtId="0" fontId="22" fillId="0" borderId="18" xfId="64" applyFont="1" applyBorder="1">
      <alignment/>
      <protection/>
    </xf>
    <xf numFmtId="0" fontId="22" fillId="0" borderId="25" xfId="64" applyFont="1" applyBorder="1">
      <alignment/>
      <protection/>
    </xf>
    <xf numFmtId="0" fontId="22" fillId="0" borderId="26" xfId="64" applyFont="1" applyBorder="1">
      <alignment/>
      <protection/>
    </xf>
    <xf numFmtId="0" fontId="22" fillId="0" borderId="0" xfId="64" applyFont="1" applyBorder="1">
      <alignment/>
      <protection/>
    </xf>
    <xf numFmtId="0" fontId="22" fillId="0" borderId="27" xfId="64" applyFont="1" applyBorder="1">
      <alignment/>
      <protection/>
    </xf>
    <xf numFmtId="0" fontId="22" fillId="0" borderId="28" xfId="64" applyFont="1" applyBorder="1">
      <alignment/>
      <protection/>
    </xf>
    <xf numFmtId="0" fontId="22" fillId="0" borderId="21" xfId="64" applyFont="1" applyBorder="1">
      <alignment/>
      <protection/>
    </xf>
    <xf numFmtId="0" fontId="22" fillId="0" borderId="23" xfId="64" applyFont="1" applyBorder="1">
      <alignment/>
      <protection/>
    </xf>
    <xf numFmtId="0" fontId="22" fillId="0" borderId="24" xfId="64" applyFont="1" applyBorder="1">
      <alignment/>
      <protection/>
    </xf>
    <xf numFmtId="0" fontId="22" fillId="0" borderId="20" xfId="64" applyFont="1" applyBorder="1">
      <alignment/>
      <protection/>
    </xf>
    <xf numFmtId="0" fontId="25" fillId="0" borderId="11" xfId="64" applyFont="1" applyBorder="1" applyAlignment="1">
      <alignment horizontal="center"/>
      <protection/>
    </xf>
    <xf numFmtId="0" fontId="25" fillId="0" borderId="29" xfId="64" applyFont="1" applyBorder="1">
      <alignment/>
      <protection/>
    </xf>
    <xf numFmtId="0" fontId="25" fillId="0" borderId="12" xfId="64" applyFont="1" applyBorder="1">
      <alignment/>
      <protection/>
    </xf>
    <xf numFmtId="171" fontId="26" fillId="0" borderId="16" xfId="64" applyNumberFormat="1" applyFont="1" applyBorder="1">
      <alignment/>
      <protection/>
    </xf>
    <xf numFmtId="171" fontId="26" fillId="0" borderId="12" xfId="64" applyNumberFormat="1" applyFont="1" applyBorder="1">
      <alignment/>
      <protection/>
    </xf>
    <xf numFmtId="171" fontId="13" fillId="0" borderId="0" xfId="64" applyNumberFormat="1" applyFont="1">
      <alignment/>
      <protection/>
    </xf>
    <xf numFmtId="0" fontId="28" fillId="0" borderId="0" xfId="64" applyAlignment="1">
      <alignment horizontal="center"/>
      <protection/>
    </xf>
    <xf numFmtId="175" fontId="13" fillId="0" borderId="0" xfId="64" applyNumberFormat="1" applyFont="1">
      <alignment/>
      <protection/>
    </xf>
    <xf numFmtId="0" fontId="16" fillId="0" borderId="19" xfId="64" applyFont="1" applyBorder="1">
      <alignment/>
      <protection/>
    </xf>
    <xf numFmtId="164" fontId="13" fillId="36" borderId="19" xfId="64" applyNumberFormat="1" applyFont="1" applyFill="1" applyBorder="1" applyAlignment="1">
      <alignment horizontal="center" vertical="center"/>
      <protection/>
    </xf>
    <xf numFmtId="173" fontId="13" fillId="4" borderId="19" xfId="64" applyNumberFormat="1" applyFont="1" applyFill="1" applyBorder="1">
      <alignment/>
      <protection/>
    </xf>
    <xf numFmtId="0" fontId="18" fillId="0" borderId="0" xfId="63" applyFont="1" applyFill="1" applyBorder="1" applyAlignment="1">
      <alignment/>
      <protection/>
    </xf>
    <xf numFmtId="0" fontId="18" fillId="0" borderId="0" xfId="63" applyFont="1" applyFill="1" applyBorder="1" applyAlignment="1">
      <alignment horizontal="center"/>
      <protection/>
    </xf>
    <xf numFmtId="9" fontId="16" fillId="0" borderId="0" xfId="63" applyNumberFormat="1" applyFont="1" applyFill="1" applyBorder="1" applyAlignment="1">
      <alignment horizontal="center"/>
      <protection/>
    </xf>
    <xf numFmtId="0" fontId="30" fillId="0" borderId="0" xfId="0" applyFont="1" applyFill="1" applyBorder="1" applyAlignment="1">
      <alignment/>
    </xf>
    <xf numFmtId="0" fontId="13" fillId="0" borderId="10" xfId="0" applyFont="1" applyBorder="1" applyAlignment="1">
      <alignment/>
    </xf>
    <xf numFmtId="0" fontId="13" fillId="0" borderId="0" xfId="0" applyFont="1" applyFill="1" applyBorder="1" applyAlignment="1">
      <alignment horizontal="center"/>
    </xf>
    <xf numFmtId="0" fontId="27" fillId="0" borderId="0" xfId="0" applyFont="1" applyBorder="1" applyAlignment="1">
      <alignment horizontal="center"/>
    </xf>
    <xf numFmtId="0" fontId="12" fillId="0" borderId="0" xfId="0" applyFont="1" applyAlignment="1">
      <alignment horizontal="center"/>
    </xf>
    <xf numFmtId="2" fontId="13" fillId="0" borderId="15" xfId="64" applyNumberFormat="1" applyFont="1" applyFill="1" applyBorder="1" applyAlignment="1">
      <alignment horizontal="center"/>
      <protection/>
    </xf>
    <xf numFmtId="2" fontId="13" fillId="0" borderId="26" xfId="64" applyNumberFormat="1" applyFont="1" applyFill="1" applyBorder="1" applyAlignment="1">
      <alignment horizontal="center"/>
      <protection/>
    </xf>
    <xf numFmtId="2" fontId="13" fillId="0" borderId="21" xfId="64" applyNumberFormat="1" applyFont="1" applyFill="1" applyBorder="1" applyAlignment="1">
      <alignment horizontal="center"/>
      <protection/>
    </xf>
    <xf numFmtId="175" fontId="13" fillId="0" borderId="30" xfId="64" applyNumberFormat="1" applyFont="1" applyFill="1" applyBorder="1">
      <alignment/>
      <protection/>
    </xf>
    <xf numFmtId="175" fontId="13" fillId="0" borderId="27" xfId="64" applyNumberFormat="1" applyFont="1" applyFill="1" applyBorder="1">
      <alignment/>
      <protection/>
    </xf>
    <xf numFmtId="175" fontId="13" fillId="0" borderId="24" xfId="64" applyNumberFormat="1" applyFont="1" applyFill="1" applyBorder="1">
      <alignment/>
      <protection/>
    </xf>
    <xf numFmtId="0" fontId="14" fillId="37" borderId="16" xfId="0" applyFont="1" applyFill="1" applyBorder="1" applyAlignment="1">
      <alignment/>
    </xf>
    <xf numFmtId="164" fontId="27" fillId="0" borderId="0" xfId="0" applyNumberFormat="1" applyFont="1" applyFill="1" applyBorder="1" applyAlignment="1">
      <alignment horizontal="center"/>
    </xf>
    <xf numFmtId="0" fontId="13" fillId="0" borderId="0" xfId="0" applyFont="1" applyAlignment="1">
      <alignment horizontal="center"/>
    </xf>
    <xf numFmtId="0" fontId="16" fillId="0" borderId="0" xfId="0" applyFont="1" applyAlignment="1">
      <alignment horizontal="center"/>
    </xf>
    <xf numFmtId="0" fontId="13" fillId="0" borderId="12" xfId="0" applyFont="1" applyBorder="1" applyAlignment="1">
      <alignment horizontal="center"/>
    </xf>
    <xf numFmtId="0" fontId="13" fillId="0" borderId="31" xfId="0" applyFont="1" applyBorder="1" applyAlignment="1">
      <alignment horizontal="center"/>
    </xf>
    <xf numFmtId="0" fontId="13" fillId="0" borderId="13" xfId="0" applyFont="1" applyBorder="1" applyAlignment="1">
      <alignment horizontal="center"/>
    </xf>
    <xf numFmtId="0" fontId="13" fillId="0" borderId="32" xfId="0" applyFont="1" applyBorder="1" applyAlignment="1">
      <alignment horizontal="center"/>
    </xf>
    <xf numFmtId="2" fontId="13" fillId="0" borderId="14" xfId="0" applyNumberFormat="1" applyFont="1" applyBorder="1" applyAlignment="1">
      <alignment horizontal="center"/>
    </xf>
    <xf numFmtId="2" fontId="13" fillId="0" borderId="33" xfId="0" applyNumberFormat="1" applyFont="1" applyBorder="1" applyAlignment="1">
      <alignment horizontal="center"/>
    </xf>
    <xf numFmtId="0" fontId="27" fillId="0" borderId="32" xfId="0" applyFont="1" applyBorder="1" applyAlignment="1">
      <alignment horizontal="center"/>
    </xf>
    <xf numFmtId="2" fontId="27" fillId="0" borderId="32" xfId="0" applyNumberFormat="1" applyFont="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35" fillId="0" borderId="0" xfId="0" applyFont="1" applyFill="1" applyBorder="1" applyAlignment="1">
      <alignment horizontal="center"/>
    </xf>
    <xf numFmtId="0" fontId="35" fillId="0" borderId="0" xfId="0" applyFont="1" applyFill="1" applyAlignment="1">
      <alignment horizontal="center" vertical="center" wrapText="1"/>
    </xf>
    <xf numFmtId="0" fontId="35" fillId="0" borderId="0" xfId="0" applyFont="1" applyFill="1" applyAlignment="1">
      <alignment horizontal="center" vertical="top" wrapText="1"/>
    </xf>
    <xf numFmtId="0" fontId="35" fillId="0" borderId="0" xfId="0" applyFont="1" applyAlignment="1">
      <alignment horizontal="center"/>
    </xf>
    <xf numFmtId="0" fontId="20" fillId="0" borderId="0" xfId="54" applyFont="1" applyAlignment="1" applyProtection="1">
      <alignment horizontal="center"/>
      <protection locked="0"/>
    </xf>
    <xf numFmtId="0" fontId="1" fillId="0" borderId="0" xfId="0" applyFont="1" applyAlignment="1" applyProtection="1">
      <alignment horizontal="center"/>
      <protection locked="0"/>
    </xf>
    <xf numFmtId="0" fontId="7" fillId="0" borderId="0" xfId="0" applyFont="1" applyFill="1" applyAlignment="1" applyProtection="1">
      <alignment horizontal="center"/>
      <protection locked="0"/>
    </xf>
    <xf numFmtId="9" fontId="13" fillId="0" borderId="0" xfId="68" applyFont="1" applyAlignment="1">
      <alignment/>
    </xf>
    <xf numFmtId="0" fontId="27" fillId="0" borderId="0" xfId="0" applyFont="1" applyFill="1" applyBorder="1" applyAlignment="1">
      <alignment/>
    </xf>
    <xf numFmtId="0" fontId="14" fillId="0" borderId="0" xfId="0" applyFont="1" applyFill="1" applyBorder="1" applyAlignment="1">
      <alignment/>
    </xf>
    <xf numFmtId="0" fontId="18" fillId="0" borderId="0" xfId="0" applyFont="1" applyFill="1" applyBorder="1" applyAlignment="1">
      <alignment/>
    </xf>
    <xf numFmtId="2" fontId="27" fillId="0" borderId="0" xfId="0" applyNumberFormat="1" applyFont="1" applyFill="1" applyBorder="1" applyAlignment="1">
      <alignment horizontal="center"/>
    </xf>
    <xf numFmtId="0" fontId="27" fillId="0" borderId="0" xfId="0" applyFont="1" applyFill="1" applyBorder="1" applyAlignment="1">
      <alignment horizontal="center"/>
    </xf>
    <xf numFmtId="171" fontId="27" fillId="0" borderId="0" xfId="0" applyNumberFormat="1" applyFont="1" applyFill="1" applyBorder="1" applyAlignment="1">
      <alignment horizontal="center"/>
    </xf>
    <xf numFmtId="9" fontId="27" fillId="0" borderId="0" xfId="0" applyNumberFormat="1" applyFont="1" applyFill="1" applyBorder="1" applyAlignment="1">
      <alignment horizontal="center"/>
    </xf>
    <xf numFmtId="0" fontId="27" fillId="0" borderId="0" xfId="0" applyFont="1" applyFill="1" applyBorder="1" applyAlignment="1" quotePrefix="1">
      <alignment horizontal="center"/>
    </xf>
    <xf numFmtId="0" fontId="27" fillId="0" borderId="0" xfId="0" applyFont="1" applyFill="1" applyBorder="1" applyAlignment="1">
      <alignment horizontal="right"/>
    </xf>
    <xf numFmtId="165" fontId="27" fillId="0" borderId="0" xfId="0" applyNumberFormat="1" applyFont="1" applyFill="1" applyBorder="1" applyAlignment="1">
      <alignment horizontal="center"/>
    </xf>
    <xf numFmtId="0" fontId="27" fillId="0" borderId="0" xfId="0" applyFont="1" applyFill="1" applyBorder="1" applyAlignment="1">
      <alignment horizontal="left"/>
    </xf>
    <xf numFmtId="0" fontId="14" fillId="0" borderId="0" xfId="0" applyFont="1" applyFill="1" applyBorder="1" applyAlignment="1">
      <alignment horizontal="left"/>
    </xf>
    <xf numFmtId="13" fontId="14" fillId="0" borderId="0" xfId="0" applyNumberFormat="1" applyFont="1" applyFill="1" applyBorder="1" applyAlignment="1" quotePrefix="1">
      <alignment horizontal="center"/>
    </xf>
    <xf numFmtId="171" fontId="14" fillId="0" borderId="0" xfId="68" applyNumberFormat="1" applyFont="1" applyFill="1" applyBorder="1" applyAlignment="1">
      <alignment horizontal="center"/>
    </xf>
    <xf numFmtId="0" fontId="31" fillId="0" borderId="0" xfId="0" applyFont="1" applyAlignment="1">
      <alignment/>
    </xf>
    <xf numFmtId="0" fontId="34" fillId="0" borderId="0" xfId="0" applyFont="1" applyAlignment="1">
      <alignment/>
    </xf>
    <xf numFmtId="0" fontId="37" fillId="34" borderId="0" xfId="0" applyFont="1" applyFill="1" applyAlignment="1">
      <alignment/>
    </xf>
    <xf numFmtId="0" fontId="34" fillId="33" borderId="0" xfId="0" applyFont="1" applyFill="1" applyAlignment="1">
      <alignment/>
    </xf>
    <xf numFmtId="0" fontId="1" fillId="0" borderId="0" xfId="0" applyFont="1" applyAlignment="1" quotePrefix="1">
      <alignment horizontal="right"/>
    </xf>
    <xf numFmtId="0" fontId="34" fillId="0" borderId="0" xfId="0" applyFont="1" applyFill="1" applyAlignment="1">
      <alignment/>
    </xf>
    <xf numFmtId="165" fontId="1" fillId="35" borderId="0" xfId="68" applyNumberFormat="1" applyFont="1" applyFill="1" applyAlignment="1">
      <alignment/>
    </xf>
    <xf numFmtId="0" fontId="1" fillId="0" borderId="0" xfId="0" applyFont="1" applyAlignment="1" quotePrefix="1">
      <alignment horizontal="center"/>
    </xf>
    <xf numFmtId="0" fontId="2" fillId="0" borderId="0" xfId="0" applyFont="1" applyAlignment="1" quotePrefix="1">
      <alignment horizontal="center"/>
    </xf>
    <xf numFmtId="0" fontId="34" fillId="0" borderId="0" xfId="0" applyFont="1" applyAlignment="1">
      <alignment horizontal="center"/>
    </xf>
    <xf numFmtId="0" fontId="2" fillId="0" borderId="0" xfId="0" applyFont="1" applyAlignment="1">
      <alignment horizontal="right"/>
    </xf>
    <xf numFmtId="164" fontId="34" fillId="0" borderId="0" xfId="0" applyNumberFormat="1" applyFont="1" applyAlignment="1">
      <alignment horizontal="center"/>
    </xf>
    <xf numFmtId="164" fontId="37" fillId="34" borderId="0" xfId="0" applyNumberFormat="1" applyFont="1" applyFill="1" applyAlignment="1">
      <alignment/>
    </xf>
    <xf numFmtId="0" fontId="4" fillId="0" borderId="0" xfId="0" applyFont="1" applyAlignment="1">
      <alignment horizontal="right"/>
    </xf>
    <xf numFmtId="0" fontId="4" fillId="34" borderId="0" xfId="0" applyFont="1" applyFill="1" applyAlignment="1">
      <alignment horizontal="right"/>
    </xf>
    <xf numFmtId="164" fontId="34" fillId="34" borderId="0" xfId="0" applyNumberFormat="1" applyFont="1" applyFill="1" applyAlignment="1">
      <alignment horizontal="center"/>
    </xf>
    <xf numFmtId="165" fontId="0" fillId="34" borderId="0" xfId="0" applyNumberFormat="1" applyFill="1" applyAlignment="1">
      <alignment/>
    </xf>
    <xf numFmtId="178" fontId="0" fillId="34" borderId="0" xfId="0" applyNumberFormat="1" applyFill="1" applyAlignment="1">
      <alignment horizontal="center"/>
    </xf>
    <xf numFmtId="179" fontId="0" fillId="34" borderId="0" xfId="0" applyNumberFormat="1" applyFill="1" applyAlignment="1">
      <alignment horizontal="center"/>
    </xf>
    <xf numFmtId="178" fontId="13" fillId="0" borderId="13" xfId="0" applyNumberFormat="1" applyFont="1" applyFill="1" applyBorder="1" applyAlignment="1">
      <alignment horizontal="center"/>
    </xf>
    <xf numFmtId="178" fontId="37" fillId="34" borderId="0" xfId="0" applyNumberFormat="1" applyFont="1" applyFill="1" applyAlignment="1">
      <alignment/>
    </xf>
    <xf numFmtId="178" fontId="13" fillId="0" borderId="13" xfId="0" applyNumberFormat="1" applyFont="1" applyBorder="1" applyAlignment="1">
      <alignment horizontal="center"/>
    </xf>
    <xf numFmtId="180" fontId="16" fillId="0" borderId="13" xfId="0" applyNumberFormat="1" applyFont="1" applyFill="1" applyBorder="1" applyAlignment="1">
      <alignment horizontal="center"/>
    </xf>
    <xf numFmtId="180" fontId="13" fillId="0" borderId="32" xfId="0" applyNumberFormat="1" applyFont="1" applyBorder="1" applyAlignment="1">
      <alignment horizontal="center"/>
    </xf>
    <xf numFmtId="10" fontId="13" fillId="0" borderId="0" xfId="0" applyNumberFormat="1" applyFont="1" applyAlignment="1">
      <alignment horizontal="center"/>
    </xf>
    <xf numFmtId="2" fontId="13" fillId="0" borderId="0" xfId="0" applyNumberFormat="1" applyFont="1" applyBorder="1" applyAlignment="1">
      <alignment horizontal="center"/>
    </xf>
    <xf numFmtId="0" fontId="27" fillId="0" borderId="32" xfId="0" applyFont="1" applyFill="1" applyBorder="1" applyAlignment="1">
      <alignment horizontal="center"/>
    </xf>
    <xf numFmtId="0" fontId="18" fillId="0" borderId="10" xfId="0" applyFont="1" applyFill="1" applyBorder="1" applyAlignment="1">
      <alignment/>
    </xf>
    <xf numFmtId="0" fontId="27" fillId="0" borderId="10" xfId="0" applyFont="1" applyFill="1" applyBorder="1" applyAlignment="1">
      <alignment/>
    </xf>
    <xf numFmtId="10" fontId="13" fillId="0" borderId="33" xfId="0" applyNumberFormat="1" applyFont="1" applyBorder="1" applyAlignment="1">
      <alignment horizontal="center"/>
    </xf>
    <xf numFmtId="0" fontId="27" fillId="37" borderId="16" xfId="0" applyFont="1" applyFill="1" applyBorder="1" applyAlignment="1">
      <alignment/>
    </xf>
    <xf numFmtId="0" fontId="27" fillId="37" borderId="34" xfId="0" applyFont="1" applyFill="1" applyBorder="1" applyAlignment="1">
      <alignment horizontal="center"/>
    </xf>
    <xf numFmtId="0" fontId="27" fillId="37" borderId="31" xfId="0" applyFont="1" applyFill="1" applyBorder="1" applyAlignment="1">
      <alignment horizontal="center"/>
    </xf>
    <xf numFmtId="10" fontId="27" fillId="0" borderId="32" xfId="0" applyNumberFormat="1" applyFont="1" applyBorder="1" applyAlignment="1">
      <alignment horizontal="center"/>
    </xf>
    <xf numFmtId="2" fontId="27" fillId="0" borderId="32" xfId="0" applyNumberFormat="1" applyFont="1" applyFill="1" applyBorder="1" applyAlignment="1">
      <alignment horizontal="center"/>
    </xf>
    <xf numFmtId="0" fontId="18" fillId="38" borderId="16" xfId="0" applyFont="1" applyFill="1" applyBorder="1" applyAlignment="1">
      <alignment/>
    </xf>
    <xf numFmtId="0" fontId="13" fillId="38" borderId="34" xfId="0" applyFont="1" applyFill="1" applyBorder="1" applyAlignment="1">
      <alignment horizontal="center"/>
    </xf>
    <xf numFmtId="10" fontId="13" fillId="0" borderId="0" xfId="0" applyNumberFormat="1" applyFont="1" applyBorder="1" applyAlignment="1">
      <alignment horizontal="center"/>
    </xf>
    <xf numFmtId="10" fontId="13" fillId="0" borderId="32" xfId="0" applyNumberFormat="1" applyFont="1" applyBorder="1" applyAlignment="1">
      <alignment horizontal="center"/>
    </xf>
    <xf numFmtId="2" fontId="13" fillId="0" borderId="32" xfId="0" applyNumberFormat="1" applyFont="1" applyBorder="1" applyAlignment="1">
      <alignment horizontal="center"/>
    </xf>
    <xf numFmtId="166" fontId="13" fillId="0" borderId="32" xfId="0" applyNumberFormat="1" applyFont="1" applyBorder="1" applyAlignment="1">
      <alignment horizontal="center"/>
    </xf>
    <xf numFmtId="0" fontId="14" fillId="37" borderId="34" xfId="0" applyFont="1" applyFill="1" applyBorder="1" applyAlignment="1">
      <alignment horizontal="center"/>
    </xf>
    <xf numFmtId="0" fontId="14" fillId="37" borderId="31" xfId="0" applyFont="1" applyFill="1" applyBorder="1" applyAlignment="1">
      <alignment horizontal="center"/>
    </xf>
    <xf numFmtId="0" fontId="27" fillId="38" borderId="16" xfId="0" applyFont="1" applyFill="1" applyBorder="1" applyAlignment="1">
      <alignment/>
    </xf>
    <xf numFmtId="0" fontId="27" fillId="38" borderId="34" xfId="0" applyFont="1" applyFill="1" applyBorder="1" applyAlignment="1">
      <alignment horizontal="center"/>
    </xf>
    <xf numFmtId="2" fontId="30" fillId="38" borderId="31" xfId="0" applyNumberFormat="1" applyFont="1" applyFill="1" applyBorder="1" applyAlignment="1">
      <alignment horizontal="center"/>
    </xf>
    <xf numFmtId="10" fontId="27" fillId="38" borderId="34" xfId="0" applyNumberFormat="1" applyFont="1" applyFill="1" applyBorder="1" applyAlignment="1">
      <alignment horizontal="center"/>
    </xf>
    <xf numFmtId="0" fontId="13" fillId="0" borderId="17" xfId="64" applyFont="1" applyBorder="1">
      <alignment/>
      <protection/>
    </xf>
    <xf numFmtId="171" fontId="25" fillId="0" borderId="14" xfId="64" applyNumberFormat="1" applyFont="1" applyBorder="1">
      <alignment/>
      <protection/>
    </xf>
    <xf numFmtId="0" fontId="24" fillId="0" borderId="16" xfId="64" applyFont="1" applyBorder="1" applyAlignment="1">
      <alignment horizontal="left"/>
      <protection/>
    </xf>
    <xf numFmtId="0" fontId="24" fillId="0" borderId="35" xfId="64" applyFont="1" applyBorder="1" applyAlignment="1">
      <alignment/>
      <protection/>
    </xf>
    <xf numFmtId="0" fontId="24" fillId="0" borderId="34" xfId="64" applyFont="1" applyBorder="1" applyAlignment="1">
      <alignment/>
      <protection/>
    </xf>
    <xf numFmtId="171" fontId="25" fillId="0" borderId="16" xfId="64" applyNumberFormat="1" applyFont="1" applyBorder="1">
      <alignment/>
      <protection/>
    </xf>
    <xf numFmtId="0" fontId="25" fillId="0" borderId="11" xfId="64" applyFont="1" applyBorder="1">
      <alignment/>
      <protection/>
    </xf>
    <xf numFmtId="171" fontId="25" fillId="0" borderId="31" xfId="64" applyNumberFormat="1" applyFont="1" applyBorder="1">
      <alignment/>
      <protection/>
    </xf>
    <xf numFmtId="0" fontId="25" fillId="0" borderId="33" xfId="64" applyFont="1" applyBorder="1">
      <alignment/>
      <protection/>
    </xf>
    <xf numFmtId="166" fontId="14" fillId="38" borderId="31" xfId="0" applyNumberFormat="1" applyFont="1" applyFill="1" applyBorder="1" applyAlignment="1">
      <alignment horizontal="center"/>
    </xf>
    <xf numFmtId="0" fontId="1" fillId="0" borderId="0" xfId="0" applyFont="1" applyAlignment="1">
      <alignment/>
    </xf>
    <xf numFmtId="0" fontId="31" fillId="0" borderId="0" xfId="0" applyFont="1" applyBorder="1" applyAlignment="1">
      <alignment/>
    </xf>
    <xf numFmtId="0" fontId="1" fillId="0" borderId="0" xfId="0" applyFont="1" applyAlignment="1">
      <alignment/>
    </xf>
    <xf numFmtId="0" fontId="39" fillId="0" borderId="0" xfId="0" applyFont="1" applyFill="1" applyBorder="1" applyAlignment="1">
      <alignment/>
    </xf>
    <xf numFmtId="2" fontId="41" fillId="39" borderId="0" xfId="0" applyNumberFormat="1" applyFont="1" applyFill="1" applyBorder="1" applyAlignment="1" applyProtection="1">
      <alignment horizontal="center"/>
      <protection locked="0"/>
    </xf>
    <xf numFmtId="0" fontId="41" fillId="39" borderId="0" xfId="0" applyFont="1" applyFill="1" applyBorder="1" applyAlignment="1" applyProtection="1">
      <alignment horizontal="center"/>
      <protection locked="0"/>
    </xf>
    <xf numFmtId="0" fontId="39" fillId="0" borderId="0" xfId="0" applyFont="1" applyAlignment="1">
      <alignment horizontal="right" vertical="center" wrapText="1"/>
    </xf>
    <xf numFmtId="0" fontId="39" fillId="0" borderId="0" xfId="0" applyFont="1" applyAlignment="1">
      <alignment horizontal="center" vertical="center" wrapText="1"/>
    </xf>
    <xf numFmtId="0" fontId="39" fillId="0" borderId="0" xfId="0" applyFont="1" applyAlignment="1">
      <alignment horizontal="right" vertical="center"/>
    </xf>
    <xf numFmtId="0" fontId="39" fillId="0" borderId="0" xfId="0" applyFont="1" applyAlignment="1">
      <alignment horizontal="left" vertical="center"/>
    </xf>
    <xf numFmtId="0" fontId="1" fillId="0" borderId="0" xfId="0" applyFont="1" applyBorder="1" applyAlignment="1">
      <alignment/>
    </xf>
    <xf numFmtId="0" fontId="8" fillId="40" borderId="36" xfId="0" applyFont="1" applyFill="1" applyBorder="1" applyAlignment="1">
      <alignment/>
    </xf>
    <xf numFmtId="0" fontId="7" fillId="40" borderId="36" xfId="0" applyFont="1" applyFill="1" applyBorder="1" applyAlignment="1">
      <alignment/>
    </xf>
    <xf numFmtId="0" fontId="8" fillId="40" borderId="10" xfId="0" applyFont="1" applyFill="1" applyBorder="1" applyAlignment="1">
      <alignment/>
    </xf>
    <xf numFmtId="0" fontId="8" fillId="40" borderId="0" xfId="0" applyFont="1" applyFill="1" applyBorder="1" applyAlignment="1">
      <alignment horizontal="right"/>
    </xf>
    <xf numFmtId="0" fontId="3" fillId="40" borderId="10" xfId="0" applyFont="1" applyFill="1" applyBorder="1" applyAlignment="1">
      <alignment/>
    </xf>
    <xf numFmtId="0" fontId="1" fillId="40" borderId="0" xfId="0" applyFont="1" applyFill="1" applyBorder="1" applyAlignment="1">
      <alignment/>
    </xf>
    <xf numFmtId="0" fontId="3" fillId="40" borderId="10" xfId="0" applyFont="1" applyFill="1" applyBorder="1" applyAlignment="1">
      <alignment/>
    </xf>
    <xf numFmtId="0" fontId="3" fillId="40" borderId="11" xfId="0" applyFont="1" applyFill="1" applyBorder="1" applyAlignment="1">
      <alignment/>
    </xf>
    <xf numFmtId="0" fontId="1" fillId="0" borderId="0" xfId="0" applyFont="1" applyFill="1" applyAlignment="1">
      <alignment/>
    </xf>
    <xf numFmtId="0" fontId="39" fillId="0" borderId="0" xfId="0" applyFont="1" applyFill="1" applyAlignment="1">
      <alignment horizontal="right" vertical="center" wrapText="1"/>
    </xf>
    <xf numFmtId="0" fontId="31" fillId="0" borderId="0" xfId="0" applyFont="1" applyFill="1" applyAlignment="1">
      <alignment/>
    </xf>
    <xf numFmtId="0" fontId="1" fillId="0" borderId="0" xfId="0" applyFont="1" applyFill="1" applyAlignment="1">
      <alignment/>
    </xf>
    <xf numFmtId="0" fontId="45" fillId="0" borderId="0" xfId="0" applyFont="1" applyAlignment="1">
      <alignment horizontal="right" vertical="center" wrapText="1"/>
    </xf>
    <xf numFmtId="0" fontId="31" fillId="0" borderId="0" xfId="0" applyFont="1" applyFill="1" applyBorder="1" applyAlignment="1">
      <alignment/>
    </xf>
    <xf numFmtId="0" fontId="1" fillId="0" borderId="0" xfId="0" applyFont="1" applyFill="1" applyBorder="1" applyAlignment="1">
      <alignment/>
    </xf>
    <xf numFmtId="0" fontId="40" fillId="0" borderId="0" xfId="0" applyFont="1" applyFill="1" applyBorder="1" applyAlignment="1">
      <alignment/>
    </xf>
    <xf numFmtId="0" fontId="1" fillId="41" borderId="29" xfId="0" applyFont="1" applyFill="1" applyBorder="1" applyAlignment="1">
      <alignment/>
    </xf>
    <xf numFmtId="0" fontId="31" fillId="41" borderId="29" xfId="0" applyFont="1" applyFill="1" applyBorder="1" applyAlignment="1">
      <alignment/>
    </xf>
    <xf numFmtId="0" fontId="39" fillId="41" borderId="29" xfId="0" applyFont="1" applyFill="1" applyBorder="1" applyAlignment="1">
      <alignment/>
    </xf>
    <xf numFmtId="2" fontId="41" fillId="41" borderId="29" xfId="0" applyNumberFormat="1" applyFont="1" applyFill="1" applyBorder="1" applyAlignment="1" applyProtection="1">
      <alignment horizontal="center"/>
      <protection locked="0"/>
    </xf>
    <xf numFmtId="0" fontId="41" fillId="41" borderId="29" xfId="0" applyFont="1" applyFill="1" applyBorder="1" applyAlignment="1" applyProtection="1">
      <alignment horizontal="center"/>
      <protection locked="0"/>
    </xf>
    <xf numFmtId="0" fontId="1" fillId="0" borderId="36" xfId="0" applyFont="1" applyBorder="1" applyAlignment="1">
      <alignment/>
    </xf>
    <xf numFmtId="3" fontId="41" fillId="39" borderId="36" xfId="0" applyNumberFormat="1" applyFont="1" applyFill="1" applyBorder="1" applyAlignment="1">
      <alignment/>
    </xf>
    <xf numFmtId="0" fontId="31" fillId="36" borderId="36" xfId="0" applyFont="1" applyFill="1" applyBorder="1" applyAlignment="1">
      <alignment/>
    </xf>
    <xf numFmtId="167" fontId="31" fillId="36" borderId="36" xfId="0" applyNumberFormat="1" applyFont="1" applyFill="1" applyBorder="1" applyAlignment="1">
      <alignment/>
    </xf>
    <xf numFmtId="0" fontId="41" fillId="39" borderId="36" xfId="0" applyFont="1" applyFill="1" applyBorder="1" applyAlignment="1" applyProtection="1">
      <alignment horizontal="left" wrapText="1"/>
      <protection locked="0"/>
    </xf>
    <xf numFmtId="0" fontId="41" fillId="39" borderId="36" xfId="0" applyFont="1" applyFill="1" applyBorder="1" applyAlignment="1" applyProtection="1">
      <alignment horizontal="left"/>
      <protection locked="0"/>
    </xf>
    <xf numFmtId="0" fontId="42" fillId="36" borderId="36" xfId="0" applyFont="1" applyFill="1" applyBorder="1" applyAlignment="1">
      <alignment horizontal="center"/>
    </xf>
    <xf numFmtId="167" fontId="41" fillId="39" borderId="36" xfId="0" applyNumberFormat="1" applyFont="1" applyFill="1" applyBorder="1" applyAlignment="1" applyProtection="1">
      <alignment horizontal="center"/>
      <protection locked="0"/>
    </xf>
    <xf numFmtId="0" fontId="39" fillId="0" borderId="29"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43" fillId="0" borderId="0" xfId="0" applyFont="1" applyFill="1" applyBorder="1" applyAlignment="1">
      <alignment horizontal="left"/>
    </xf>
    <xf numFmtId="0" fontId="41" fillId="39" borderId="36" xfId="0" applyFont="1" applyFill="1" applyBorder="1" applyAlignment="1">
      <alignment horizontal="left"/>
    </xf>
    <xf numFmtId="0" fontId="31" fillId="0" borderId="0" xfId="0" applyFont="1" applyBorder="1" applyAlignment="1">
      <alignment horizontal="left"/>
    </xf>
    <xf numFmtId="0" fontId="31" fillId="41" borderId="29" xfId="0" applyFont="1" applyFill="1" applyBorder="1" applyAlignment="1">
      <alignment horizontal="left"/>
    </xf>
    <xf numFmtId="0" fontId="1" fillId="0" borderId="0" xfId="0" applyFont="1" applyAlignment="1">
      <alignment horizontal="left"/>
    </xf>
    <xf numFmtId="0" fontId="31" fillId="0" borderId="36" xfId="0" applyFont="1" applyBorder="1" applyAlignment="1">
      <alignment horizontal="center"/>
    </xf>
    <xf numFmtId="0" fontId="31" fillId="0" borderId="0" xfId="0" applyFont="1" applyBorder="1" applyAlignment="1">
      <alignment horizontal="center"/>
    </xf>
    <xf numFmtId="0" fontId="31" fillId="41" borderId="29" xfId="0" applyFont="1" applyFill="1" applyBorder="1" applyAlignment="1">
      <alignment horizontal="center"/>
    </xf>
    <xf numFmtId="0" fontId="31" fillId="0" borderId="0" xfId="0" applyFont="1" applyAlignment="1">
      <alignment horizontal="center"/>
    </xf>
    <xf numFmtId="0" fontId="31" fillId="0" borderId="0" xfId="0" applyFont="1" applyAlignment="1">
      <alignment horizontal="left"/>
    </xf>
    <xf numFmtId="172" fontId="39" fillId="0" borderId="36" xfId="42" applyNumberFormat="1" applyFont="1" applyFill="1" applyBorder="1" applyAlignment="1">
      <alignment/>
    </xf>
    <xf numFmtId="0" fontId="31" fillId="0" borderId="29" xfId="0" applyFont="1" applyFill="1" applyBorder="1" applyAlignment="1">
      <alignment/>
    </xf>
    <xf numFmtId="0" fontId="39" fillId="0" borderId="0" xfId="0" applyFont="1" applyFill="1" applyAlignment="1">
      <alignment horizontal="right" vertical="center"/>
    </xf>
    <xf numFmtId="0" fontId="1" fillId="0" borderId="36" xfId="0" applyFont="1" applyFill="1" applyBorder="1" applyAlignment="1">
      <alignment/>
    </xf>
    <xf numFmtId="166" fontId="1" fillId="0" borderId="36" xfId="0" applyNumberFormat="1" applyFont="1" applyFill="1" applyBorder="1" applyAlignment="1">
      <alignment/>
    </xf>
    <xf numFmtId="174" fontId="3" fillId="0" borderId="36" xfId="0" applyNumberFormat="1" applyFont="1" applyFill="1" applyBorder="1" applyAlignment="1">
      <alignment/>
    </xf>
    <xf numFmtId="176" fontId="1" fillId="0" borderId="36" xfId="68" applyNumberFormat="1" applyFont="1" applyFill="1" applyBorder="1" applyAlignment="1">
      <alignment/>
    </xf>
    <xf numFmtId="1" fontId="1" fillId="0" borderId="36" xfId="0" applyNumberFormat="1" applyFont="1" applyFill="1" applyBorder="1" applyAlignment="1">
      <alignment/>
    </xf>
    <xf numFmtId="0" fontId="1" fillId="0" borderId="29" xfId="0" applyFont="1" applyFill="1" applyBorder="1" applyAlignment="1">
      <alignment/>
    </xf>
    <xf numFmtId="0" fontId="40" fillId="0" borderId="29" xfId="0" applyFont="1" applyFill="1" applyBorder="1" applyAlignment="1">
      <alignment/>
    </xf>
    <xf numFmtId="0" fontId="43" fillId="0" borderId="0" xfId="0" applyFont="1" applyFill="1" applyAlignment="1">
      <alignment horizontal="left" vertical="center"/>
    </xf>
    <xf numFmtId="3" fontId="39" fillId="36" borderId="0" xfId="0" applyNumberFormat="1" applyFont="1" applyFill="1" applyAlignment="1">
      <alignment/>
    </xf>
    <xf numFmtId="0" fontId="46" fillId="0" borderId="0" xfId="0" applyFont="1" applyFill="1" applyBorder="1" applyAlignment="1">
      <alignment horizontal="left"/>
    </xf>
    <xf numFmtId="0" fontId="39" fillId="36" borderId="0" xfId="0" applyFont="1" applyFill="1" applyAlignment="1">
      <alignment horizontal="left"/>
    </xf>
    <xf numFmtId="0" fontId="44" fillId="36" borderId="0" xfId="0" applyFont="1" applyFill="1" applyBorder="1" applyAlignment="1">
      <alignment horizontal="left"/>
    </xf>
    <xf numFmtId="0" fontId="39" fillId="0" borderId="0" xfId="0" applyFont="1" applyAlignment="1">
      <alignment horizontal="right"/>
    </xf>
    <xf numFmtId="0" fontId="1" fillId="0" borderId="0" xfId="0" applyFont="1" applyFill="1" applyAlignment="1">
      <alignment horizontal="left"/>
    </xf>
    <xf numFmtId="0" fontId="7" fillId="40" borderId="0" xfId="0" applyFont="1" applyFill="1" applyBorder="1" applyAlignment="1">
      <alignment/>
    </xf>
    <xf numFmtId="0" fontId="7" fillId="40" borderId="0" xfId="0" applyFont="1" applyFill="1" applyBorder="1" applyAlignment="1">
      <alignment/>
    </xf>
    <xf numFmtId="0" fontId="1" fillId="40" borderId="37" xfId="0" applyFont="1" applyFill="1" applyBorder="1" applyAlignment="1">
      <alignment/>
    </xf>
    <xf numFmtId="0" fontId="1" fillId="40" borderId="32" xfId="0" applyFont="1" applyFill="1" applyBorder="1" applyAlignment="1">
      <alignment/>
    </xf>
    <xf numFmtId="0" fontId="1" fillId="40" borderId="29" xfId="0" applyFont="1" applyFill="1" applyBorder="1" applyAlignment="1">
      <alignment/>
    </xf>
    <xf numFmtId="0" fontId="1" fillId="40" borderId="33" xfId="0" applyFont="1" applyFill="1" applyBorder="1" applyAlignment="1">
      <alignment/>
    </xf>
    <xf numFmtId="0" fontId="44" fillId="40" borderId="38" xfId="0" applyFont="1" applyFill="1" applyBorder="1" applyAlignment="1">
      <alignment/>
    </xf>
    <xf numFmtId="164" fontId="47" fillId="0" borderId="0" xfId="0" applyNumberFormat="1" applyFont="1" applyBorder="1" applyAlignment="1">
      <alignment horizontal="right"/>
    </xf>
    <xf numFmtId="0" fontId="16" fillId="37" borderId="36" xfId="0" applyFont="1" applyFill="1" applyBorder="1" applyAlignment="1">
      <alignment horizontal="center"/>
    </xf>
    <xf numFmtId="0" fontId="16" fillId="37" borderId="37" xfId="0" applyFont="1" applyFill="1" applyBorder="1" applyAlignment="1">
      <alignment horizontal="center"/>
    </xf>
    <xf numFmtId="164" fontId="16" fillId="0" borderId="0" xfId="0" applyNumberFormat="1" applyFont="1" applyBorder="1" applyAlignment="1">
      <alignment horizontal="left"/>
    </xf>
    <xf numFmtId="9" fontId="42" fillId="36" borderId="36" xfId="0" applyNumberFormat="1" applyFont="1" applyFill="1" applyBorder="1" applyAlignment="1">
      <alignment horizontal="center"/>
    </xf>
    <xf numFmtId="9" fontId="41" fillId="39" borderId="0" xfId="0" applyNumberFormat="1" applyFont="1" applyFill="1" applyBorder="1" applyAlignment="1" applyProtection="1">
      <alignment horizontal="center"/>
      <protection locked="0"/>
    </xf>
    <xf numFmtId="9" fontId="41" fillId="41" borderId="29" xfId="0" applyNumberFormat="1" applyFont="1" applyFill="1" applyBorder="1" applyAlignment="1" applyProtection="1">
      <alignment horizontal="center"/>
      <protection locked="0"/>
    </xf>
    <xf numFmtId="0" fontId="46"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xf>
    <xf numFmtId="0" fontId="1" fillId="0" borderId="36" xfId="0" applyFont="1" applyBorder="1" applyAlignment="1">
      <alignment/>
    </xf>
    <xf numFmtId="0" fontId="4" fillId="0" borderId="0" xfId="0" applyFont="1" applyFill="1" applyBorder="1" applyAlignment="1">
      <alignment/>
    </xf>
    <xf numFmtId="0" fontId="1" fillId="0" borderId="0" xfId="0" applyFont="1" applyBorder="1" applyAlignment="1">
      <alignment horizontal="center"/>
    </xf>
    <xf numFmtId="0" fontId="1" fillId="0" borderId="0" xfId="0" applyFont="1" applyBorder="1" applyAlignment="1">
      <alignment/>
    </xf>
    <xf numFmtId="0" fontId="1" fillId="0" borderId="16" xfId="0" applyFont="1" applyFill="1" applyBorder="1" applyAlignment="1">
      <alignment/>
    </xf>
    <xf numFmtId="0" fontId="1" fillId="0" borderId="34" xfId="0" applyFont="1" applyFill="1" applyBorder="1" applyAlignment="1">
      <alignment horizontal="center"/>
    </xf>
    <xf numFmtId="0" fontId="8" fillId="36" borderId="31" xfId="0" applyFont="1" applyFill="1" applyBorder="1" applyAlignment="1">
      <alignment horizontal="right"/>
    </xf>
    <xf numFmtId="0" fontId="1" fillId="0" borderId="0" xfId="0" applyFont="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8" fillId="0" borderId="0" xfId="0" applyFont="1" applyFill="1" applyBorder="1" applyAlignment="1">
      <alignment horizontal="right"/>
    </xf>
    <xf numFmtId="0" fontId="32" fillId="0" borderId="0" xfId="0" applyFont="1" applyFill="1" applyBorder="1" applyAlignment="1">
      <alignment horizontal="center"/>
    </xf>
    <xf numFmtId="0" fontId="43" fillId="0" borderId="16" xfId="0" applyFont="1" applyFill="1" applyBorder="1" applyAlignment="1">
      <alignment/>
    </xf>
    <xf numFmtId="0" fontId="1" fillId="0" borderId="34" xfId="0" applyFont="1" applyFill="1" applyBorder="1" applyAlignment="1">
      <alignment horizontal="center"/>
    </xf>
    <xf numFmtId="0" fontId="32" fillId="0" borderId="31"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xf>
    <xf numFmtId="0" fontId="32" fillId="0" borderId="32" xfId="0" applyFont="1" applyFill="1" applyBorder="1" applyAlignment="1">
      <alignment horizontal="center"/>
    </xf>
    <xf numFmtId="0" fontId="1" fillId="0" borderId="31" xfId="0" applyFont="1" applyFill="1" applyBorder="1" applyAlignment="1">
      <alignment/>
    </xf>
    <xf numFmtId="0" fontId="1" fillId="0" borderId="32" xfId="0" applyFont="1" applyFill="1" applyBorder="1" applyAlignment="1">
      <alignment/>
    </xf>
    <xf numFmtId="0" fontId="32" fillId="39" borderId="19" xfId="0" applyFont="1" applyFill="1" applyBorder="1" applyAlignment="1" applyProtection="1">
      <alignment/>
      <protection locked="0"/>
    </xf>
    <xf numFmtId="0" fontId="7" fillId="36" borderId="39" xfId="0" applyFont="1" applyFill="1" applyBorder="1" applyAlignment="1">
      <alignment/>
    </xf>
    <xf numFmtId="0" fontId="1" fillId="0" borderId="40" xfId="0" applyFont="1" applyFill="1" applyBorder="1" applyAlignment="1">
      <alignment/>
    </xf>
    <xf numFmtId="0" fontId="8" fillId="0" borderId="19" xfId="0" applyFont="1" applyFill="1" applyBorder="1" applyAlignment="1">
      <alignment/>
    </xf>
    <xf numFmtId="0" fontId="32" fillId="39" borderId="39" xfId="0" applyFont="1" applyFill="1" applyBorder="1" applyAlignment="1" applyProtection="1">
      <alignment/>
      <protection locked="0"/>
    </xf>
    <xf numFmtId="0" fontId="39" fillId="0" borderId="41" xfId="0" applyFont="1" applyFill="1" applyBorder="1" applyAlignment="1">
      <alignment/>
    </xf>
    <xf numFmtId="0" fontId="3" fillId="0" borderId="42" xfId="0" applyFont="1" applyFill="1" applyBorder="1" applyAlignment="1">
      <alignment horizontal="center"/>
    </xf>
    <xf numFmtId="0" fontId="3" fillId="0" borderId="0" xfId="0" applyFont="1" applyFill="1" applyBorder="1" applyAlignment="1">
      <alignment/>
    </xf>
    <xf numFmtId="0" fontId="3" fillId="0" borderId="0" xfId="0" applyFont="1" applyFill="1" applyBorder="1" applyAlignment="1">
      <alignment horizontal="center"/>
    </xf>
    <xf numFmtId="173" fontId="3" fillId="0" borderId="0" xfId="0" applyNumberFormat="1" applyFont="1" applyFill="1" applyBorder="1" applyAlignment="1">
      <alignment/>
    </xf>
    <xf numFmtId="0" fontId="3" fillId="0" borderId="0" xfId="0" applyFont="1" applyFill="1" applyBorder="1" applyAlignment="1">
      <alignment/>
    </xf>
    <xf numFmtId="0" fontId="7" fillId="0" borderId="0" xfId="0" applyFont="1" applyBorder="1" applyAlignment="1">
      <alignment/>
    </xf>
    <xf numFmtId="0" fontId="48" fillId="0" borderId="16" xfId="0" applyFont="1" applyBorder="1" applyAlignment="1">
      <alignment/>
    </xf>
    <xf numFmtId="0" fontId="7" fillId="0" borderId="34" xfId="0" applyFont="1" applyBorder="1" applyAlignment="1">
      <alignment/>
    </xf>
    <xf numFmtId="0" fontId="7" fillId="0" borderId="31" xfId="0" applyFont="1" applyBorder="1" applyAlignment="1">
      <alignment/>
    </xf>
    <xf numFmtId="0" fontId="7" fillId="0" borderId="11" xfId="0" applyFont="1" applyBorder="1" applyAlignment="1">
      <alignment/>
    </xf>
    <xf numFmtId="0" fontId="7" fillId="0" borderId="29" xfId="0" applyFont="1" applyBorder="1" applyAlignment="1">
      <alignment/>
    </xf>
    <xf numFmtId="0" fontId="12" fillId="0" borderId="0" xfId="0" applyFont="1" applyFill="1" applyAlignment="1">
      <alignment/>
    </xf>
    <xf numFmtId="0" fontId="12"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center"/>
    </xf>
    <xf numFmtId="0" fontId="30" fillId="37" borderId="16" xfId="0" applyFont="1" applyFill="1" applyBorder="1" applyAlignment="1">
      <alignment/>
    </xf>
    <xf numFmtId="0" fontId="20" fillId="0" borderId="0" xfId="54" applyAlignment="1" applyProtection="1">
      <alignment horizontal="center"/>
      <protection locked="0"/>
    </xf>
    <xf numFmtId="0" fontId="49" fillId="0" borderId="0" xfId="65" applyFont="1" applyFill="1" applyBorder="1">
      <alignment/>
      <protection/>
    </xf>
    <xf numFmtId="0" fontId="31" fillId="0" borderId="0" xfId="65" applyFont="1" applyFill="1" applyBorder="1">
      <alignment/>
      <protection/>
    </xf>
    <xf numFmtId="0" fontId="31" fillId="0" borderId="0" xfId="65" applyFont="1" applyFill="1">
      <alignment/>
      <protection/>
    </xf>
    <xf numFmtId="0" fontId="39" fillId="0" borderId="0" xfId="65" applyFont="1" applyFill="1" applyBorder="1">
      <alignment/>
      <protection/>
    </xf>
    <xf numFmtId="0" fontId="39" fillId="40" borderId="38" xfId="65" applyFont="1" applyFill="1" applyBorder="1">
      <alignment/>
      <protection/>
    </xf>
    <xf numFmtId="0" fontId="31" fillId="40" borderId="36" xfId="65" applyFont="1" applyFill="1" applyBorder="1">
      <alignment/>
      <protection/>
    </xf>
    <xf numFmtId="0" fontId="31" fillId="40" borderId="37" xfId="65" applyFont="1" applyFill="1" applyBorder="1">
      <alignment/>
      <protection/>
    </xf>
    <xf numFmtId="0" fontId="31" fillId="40" borderId="10" xfId="65" applyFont="1" applyFill="1" applyBorder="1">
      <alignment/>
      <protection/>
    </xf>
    <xf numFmtId="0" fontId="31" fillId="40" borderId="0" xfId="65" applyFont="1" applyFill="1" applyBorder="1">
      <alignment/>
      <protection/>
    </xf>
    <xf numFmtId="0" fontId="31" fillId="40" borderId="32" xfId="65" applyFont="1" applyFill="1" applyBorder="1">
      <alignment/>
      <protection/>
    </xf>
    <xf numFmtId="0" fontId="31" fillId="40" borderId="11" xfId="65" applyFont="1" applyFill="1" applyBorder="1">
      <alignment/>
      <protection/>
    </xf>
    <xf numFmtId="0" fontId="31" fillId="40" borderId="29" xfId="65" applyFont="1" applyFill="1" applyBorder="1">
      <alignment/>
      <protection/>
    </xf>
    <xf numFmtId="0" fontId="31" fillId="40" borderId="33" xfId="65" applyFont="1" applyFill="1" applyBorder="1">
      <alignment/>
      <protection/>
    </xf>
    <xf numFmtId="0" fontId="38" fillId="0" borderId="0" xfId="65" applyFont="1" applyFill="1" applyBorder="1">
      <alignment/>
      <protection/>
    </xf>
    <xf numFmtId="0" fontId="42" fillId="0" borderId="0" xfId="65" applyFont="1" applyFill="1" applyBorder="1">
      <alignment/>
      <protection/>
    </xf>
    <xf numFmtId="165" fontId="42" fillId="0" borderId="0" xfId="65" applyNumberFormat="1" applyFont="1" applyFill="1" applyBorder="1">
      <alignment/>
      <protection/>
    </xf>
    <xf numFmtId="165" fontId="31" fillId="0" borderId="0" xfId="65" applyNumberFormat="1" applyFont="1" applyFill="1" applyBorder="1">
      <alignment/>
      <protection/>
    </xf>
    <xf numFmtId="0" fontId="50" fillId="0" borderId="0" xfId="65" applyFont="1" applyFill="1" applyBorder="1" quotePrefix="1">
      <alignment/>
      <protection/>
    </xf>
    <xf numFmtId="0" fontId="51" fillId="0" borderId="0" xfId="65" applyFont="1" applyFill="1" applyBorder="1">
      <alignment/>
      <protection/>
    </xf>
    <xf numFmtId="8" fontId="31" fillId="0" borderId="0" xfId="65" applyNumberFormat="1" applyFont="1" applyFill="1" applyBorder="1">
      <alignment/>
      <protection/>
    </xf>
    <xf numFmtId="0" fontId="52" fillId="0" borderId="0" xfId="65" applyFont="1" applyFill="1" applyBorder="1" quotePrefix="1">
      <alignment/>
      <protection/>
    </xf>
    <xf numFmtId="0" fontId="39" fillId="0" borderId="0" xfId="65" applyFont="1" applyFill="1">
      <alignment/>
      <protection/>
    </xf>
    <xf numFmtId="10" fontId="31" fillId="0" borderId="0" xfId="68" applyNumberFormat="1" applyFont="1" applyFill="1" applyBorder="1" applyAlignment="1">
      <alignment/>
    </xf>
    <xf numFmtId="9" fontId="31" fillId="0" borderId="0" xfId="65" applyNumberFormat="1" applyFont="1" applyFill="1" applyBorder="1">
      <alignment/>
      <protection/>
    </xf>
    <xf numFmtId="0" fontId="31" fillId="0" borderId="38" xfId="65" applyFont="1" applyFill="1" applyBorder="1">
      <alignment/>
      <protection/>
    </xf>
    <xf numFmtId="0" fontId="31" fillId="0" borderId="36" xfId="65" applyFont="1" applyFill="1" applyBorder="1">
      <alignment/>
      <protection/>
    </xf>
    <xf numFmtId="0" fontId="31" fillId="0" borderId="10" xfId="65" applyFont="1" applyFill="1" applyBorder="1">
      <alignment/>
      <protection/>
    </xf>
    <xf numFmtId="0" fontId="31" fillId="0" borderId="29" xfId="65" applyFont="1" applyFill="1" applyBorder="1">
      <alignment/>
      <protection/>
    </xf>
    <xf numFmtId="0" fontId="31" fillId="0" borderId="0" xfId="65" applyFont="1" applyFill="1" applyBorder="1" quotePrefix="1">
      <alignment/>
      <protection/>
    </xf>
    <xf numFmtId="0" fontId="42" fillId="0" borderId="0" xfId="65" applyFont="1" applyFill="1" applyBorder="1" quotePrefix="1">
      <alignment/>
      <protection/>
    </xf>
    <xf numFmtId="2" fontId="31" fillId="0" borderId="0" xfId="65" applyNumberFormat="1" applyFont="1" applyFill="1" applyBorder="1">
      <alignment/>
      <protection/>
    </xf>
    <xf numFmtId="2" fontId="39" fillId="0" borderId="0" xfId="65" applyNumberFormat="1" applyFont="1" applyFill="1" applyBorder="1">
      <alignment/>
      <protection/>
    </xf>
    <xf numFmtId="0" fontId="31" fillId="0" borderId="10" xfId="65" applyFont="1" applyBorder="1">
      <alignment/>
      <protection/>
    </xf>
    <xf numFmtId="0" fontId="31" fillId="0" borderId="0" xfId="65" applyFont="1" applyBorder="1">
      <alignment/>
      <protection/>
    </xf>
    <xf numFmtId="165" fontId="31" fillId="0" borderId="0" xfId="65" applyNumberFormat="1" applyFont="1" applyBorder="1">
      <alignment/>
      <protection/>
    </xf>
    <xf numFmtId="0" fontId="31" fillId="0" borderId="0" xfId="65" applyFont="1">
      <alignment/>
      <protection/>
    </xf>
    <xf numFmtId="2" fontId="31" fillId="0" borderId="0" xfId="65" applyNumberFormat="1" applyFont="1" applyBorder="1">
      <alignment/>
      <protection/>
    </xf>
    <xf numFmtId="0" fontId="39" fillId="0" borderId="0" xfId="65" applyFont="1" applyBorder="1">
      <alignment/>
      <protection/>
    </xf>
    <xf numFmtId="2" fontId="39" fillId="0" borderId="0" xfId="65" applyNumberFormat="1" applyFont="1" applyBorder="1">
      <alignment/>
      <protection/>
    </xf>
    <xf numFmtId="0" fontId="31" fillId="0" borderId="0" xfId="65" applyFont="1" applyBorder="1" quotePrefix="1">
      <alignment/>
      <protection/>
    </xf>
    <xf numFmtId="0" fontId="39" fillId="40" borderId="0" xfId="65" applyFont="1" applyFill="1" applyBorder="1">
      <alignment/>
      <protection/>
    </xf>
    <xf numFmtId="2" fontId="39" fillId="0" borderId="38" xfId="65" applyNumberFormat="1" applyFont="1" applyFill="1" applyBorder="1">
      <alignment/>
      <protection/>
    </xf>
    <xf numFmtId="0" fontId="39" fillId="0" borderId="37" xfId="65" applyFont="1" applyFill="1" applyBorder="1">
      <alignment/>
      <protection/>
    </xf>
    <xf numFmtId="2" fontId="39" fillId="0" borderId="11" xfId="65" applyNumberFormat="1" applyFont="1" applyFill="1" applyBorder="1">
      <alignment/>
      <protection/>
    </xf>
    <xf numFmtId="0" fontId="39" fillId="0" borderId="33" xfId="65" applyFont="1" applyFill="1" applyBorder="1">
      <alignment/>
      <protection/>
    </xf>
    <xf numFmtId="0" fontId="31" fillId="0" borderId="0" xfId="65" applyFont="1" applyFill="1" applyBorder="1" applyAlignment="1">
      <alignment horizontal="center"/>
      <protection/>
    </xf>
    <xf numFmtId="0" fontId="31" fillId="0" borderId="0" xfId="65" applyFont="1" applyFill="1" applyBorder="1" applyAlignment="1">
      <alignment horizontal="left"/>
      <protection/>
    </xf>
    <xf numFmtId="0" fontId="31" fillId="0" borderId="0" xfId="65" applyFont="1" applyBorder="1" applyAlignment="1">
      <alignment horizontal="right"/>
      <protection/>
    </xf>
    <xf numFmtId="0" fontId="31" fillId="0" borderId="0" xfId="65" applyFont="1" applyBorder="1" applyAlignment="1">
      <alignment horizontal="center"/>
      <protection/>
    </xf>
    <xf numFmtId="10" fontId="31" fillId="0" borderId="0" xfId="68" applyNumberFormat="1" applyFont="1" applyBorder="1" applyAlignment="1">
      <alignment/>
    </xf>
    <xf numFmtId="9" fontId="31" fillId="0" borderId="0" xfId="68" applyFont="1" applyFill="1" applyBorder="1" applyAlignment="1">
      <alignment/>
    </xf>
    <xf numFmtId="9" fontId="31" fillId="0" borderId="0" xfId="65" applyNumberFormat="1" applyFont="1" applyBorder="1">
      <alignment/>
      <protection/>
    </xf>
    <xf numFmtId="1" fontId="31" fillId="0" borderId="0" xfId="65" applyNumberFormat="1" applyFont="1" applyFill="1" applyBorder="1">
      <alignment/>
      <protection/>
    </xf>
    <xf numFmtId="1" fontId="31" fillId="0" borderId="0" xfId="65" applyNumberFormat="1" applyFont="1" applyBorder="1">
      <alignment/>
      <protection/>
    </xf>
    <xf numFmtId="8" fontId="31" fillId="0" borderId="0" xfId="65" applyNumberFormat="1" applyFont="1" applyBorder="1">
      <alignment/>
      <protection/>
    </xf>
    <xf numFmtId="0" fontId="31" fillId="0" borderId="37" xfId="65" applyFont="1" applyFill="1" applyBorder="1" applyAlignment="1">
      <alignment horizontal="center"/>
      <protection/>
    </xf>
    <xf numFmtId="167" fontId="31" fillId="0" borderId="32" xfId="65" applyNumberFormat="1" applyFont="1" applyFill="1" applyBorder="1" applyAlignment="1">
      <alignment horizontal="center"/>
      <protection/>
    </xf>
    <xf numFmtId="167" fontId="31" fillId="0" borderId="0" xfId="65" applyNumberFormat="1" applyFont="1" applyBorder="1" applyAlignment="1">
      <alignment horizontal="center"/>
      <protection/>
    </xf>
    <xf numFmtId="0" fontId="31" fillId="0" borderId="32" xfId="65" applyFont="1" applyFill="1" applyBorder="1" applyAlignment="1">
      <alignment horizontal="center"/>
      <protection/>
    </xf>
    <xf numFmtId="8" fontId="31" fillId="0" borderId="32" xfId="65" applyNumberFormat="1" applyFont="1" applyFill="1" applyBorder="1" applyAlignment="1">
      <alignment horizontal="center"/>
      <protection/>
    </xf>
    <xf numFmtId="8" fontId="31" fillId="0" borderId="0" xfId="65" applyNumberFormat="1" applyFont="1" applyBorder="1" applyAlignment="1">
      <alignment horizontal="center"/>
      <protection/>
    </xf>
    <xf numFmtId="0" fontId="39" fillId="0" borderId="10" xfId="65" applyFont="1" applyFill="1" applyBorder="1">
      <alignment/>
      <protection/>
    </xf>
    <xf numFmtId="0" fontId="31" fillId="0" borderId="11" xfId="65" applyFont="1" applyFill="1" applyBorder="1">
      <alignment/>
      <protection/>
    </xf>
    <xf numFmtId="167" fontId="31" fillId="0" borderId="33" xfId="65" applyNumberFormat="1" applyFont="1" applyFill="1" applyBorder="1" applyAlignment="1">
      <alignment horizontal="center"/>
      <protection/>
    </xf>
    <xf numFmtId="0" fontId="31" fillId="42" borderId="0" xfId="65" applyFont="1" applyFill="1" applyBorder="1">
      <alignment/>
      <protection/>
    </xf>
    <xf numFmtId="8" fontId="31" fillId="42" borderId="0" xfId="65" applyNumberFormat="1" applyFont="1" applyFill="1" applyBorder="1">
      <alignment/>
      <protection/>
    </xf>
    <xf numFmtId="0" fontId="31" fillId="42" borderId="0" xfId="65" applyFont="1" applyFill="1">
      <alignment/>
      <protection/>
    </xf>
    <xf numFmtId="0" fontId="53" fillId="0" borderId="0" xfId="65" applyFont="1" applyFill="1" applyBorder="1">
      <alignment/>
      <protection/>
    </xf>
    <xf numFmtId="0" fontId="42" fillId="0" borderId="0" xfId="65" applyFont="1" applyFill="1">
      <alignment/>
      <protection/>
    </xf>
    <xf numFmtId="1" fontId="42" fillId="0" borderId="0" xfId="65" applyNumberFormat="1" applyFont="1" applyFill="1" applyBorder="1">
      <alignment/>
      <protection/>
    </xf>
    <xf numFmtId="2" fontId="42" fillId="0" borderId="0" xfId="65" applyNumberFormat="1" applyFont="1" applyFill="1" applyBorder="1">
      <alignment/>
      <protection/>
    </xf>
    <xf numFmtId="2" fontId="42" fillId="0" borderId="0" xfId="65" applyNumberFormat="1" applyFont="1" applyFill="1" applyBorder="1" applyAlignment="1">
      <alignment horizontal="right"/>
      <protection/>
    </xf>
    <xf numFmtId="0" fontId="42" fillId="0" borderId="0" xfId="65" applyFont="1">
      <alignment/>
      <protection/>
    </xf>
    <xf numFmtId="165" fontId="53" fillId="0" borderId="0" xfId="65" applyNumberFormat="1" applyFont="1" applyFill="1" applyBorder="1">
      <alignment/>
      <protection/>
    </xf>
    <xf numFmtId="165" fontId="44" fillId="0" borderId="0" xfId="65" applyNumberFormat="1" applyFont="1" applyFill="1" applyBorder="1">
      <alignment/>
      <protection/>
    </xf>
    <xf numFmtId="0" fontId="1" fillId="0" borderId="0" xfId="0" applyFont="1" applyFill="1" applyBorder="1" applyAlignment="1">
      <alignment/>
    </xf>
    <xf numFmtId="165" fontId="14" fillId="38" borderId="31" xfId="0" applyNumberFormat="1" applyFont="1" applyFill="1" applyBorder="1" applyAlignment="1">
      <alignment horizontal="center"/>
    </xf>
    <xf numFmtId="0" fontId="36" fillId="0" borderId="0" xfId="54" applyFont="1" applyBorder="1" applyAlignment="1" applyProtection="1">
      <alignment horizontal="center"/>
      <protection locked="0"/>
    </xf>
    <xf numFmtId="0" fontId="31" fillId="0" borderId="0" xfId="0" applyFont="1" applyBorder="1" applyAlignment="1" applyProtection="1">
      <alignment horizontal="center"/>
      <protection locked="0"/>
    </xf>
    <xf numFmtId="172" fontId="33" fillId="39" borderId="43" xfId="0" applyNumberFormat="1" applyFont="1" applyFill="1" applyBorder="1" applyAlignment="1">
      <alignment horizontal="right"/>
    </xf>
    <xf numFmtId="172" fontId="39" fillId="38" borderId="0" xfId="0" applyNumberFormat="1" applyFont="1" applyFill="1" applyAlignment="1">
      <alignment/>
    </xf>
    <xf numFmtId="174" fontId="39" fillId="38" borderId="36" xfId="42" applyNumberFormat="1" applyFont="1" applyFill="1" applyBorder="1" applyAlignment="1">
      <alignment/>
    </xf>
    <xf numFmtId="172" fontId="39" fillId="38" borderId="36" xfId="42" applyNumberFormat="1" applyFont="1" applyFill="1" applyBorder="1" applyAlignment="1">
      <alignment/>
    </xf>
    <xf numFmtId="0" fontId="55" fillId="39" borderId="37" xfId="0" applyFont="1" applyFill="1" applyBorder="1" applyAlignment="1" applyProtection="1">
      <alignment horizontal="right"/>
      <protection locked="0"/>
    </xf>
    <xf numFmtId="0" fontId="41" fillId="39" borderId="33" xfId="0" applyFont="1" applyFill="1" applyBorder="1" applyAlignment="1" applyProtection="1">
      <alignment horizontal="right"/>
      <protection locked="0"/>
    </xf>
    <xf numFmtId="3" fontId="55" fillId="39" borderId="31" xfId="0" applyNumberFormat="1" applyFont="1" applyFill="1" applyBorder="1" applyAlignment="1" applyProtection="1">
      <alignment horizontal="right"/>
      <protection locked="0"/>
    </xf>
    <xf numFmtId="0" fontId="36" fillId="0" borderId="0" xfId="54" applyFont="1" applyAlignment="1" applyProtection="1">
      <alignment horizontal="center"/>
      <protection locked="0"/>
    </xf>
    <xf numFmtId="0" fontId="55" fillId="0" borderId="0" xfId="0" applyFont="1" applyFill="1" applyBorder="1" applyAlignment="1" applyProtection="1">
      <alignment/>
      <protection locked="0"/>
    </xf>
    <xf numFmtId="0" fontId="1" fillId="0" borderId="0" xfId="0" applyFont="1" applyAlignment="1" applyProtection="1">
      <alignment/>
      <protection/>
    </xf>
    <xf numFmtId="0" fontId="31" fillId="0" borderId="0" xfId="0" applyFont="1" applyAlignment="1" applyProtection="1">
      <alignment horizontal="center"/>
      <protection locked="0"/>
    </xf>
    <xf numFmtId="167" fontId="55" fillId="0" borderId="0" xfId="0" applyNumberFormat="1" applyFont="1" applyFill="1" applyBorder="1" applyAlignment="1" applyProtection="1">
      <alignment/>
      <protection locked="0"/>
    </xf>
    <xf numFmtId="0" fontId="1" fillId="0" borderId="0" xfId="0" applyFont="1" applyAlignment="1" applyProtection="1">
      <alignment/>
      <protection/>
    </xf>
    <xf numFmtId="0" fontId="38" fillId="0" borderId="16" xfId="0" applyFont="1" applyBorder="1" applyAlignment="1" applyProtection="1">
      <alignment/>
      <protection/>
    </xf>
    <xf numFmtId="0" fontId="1" fillId="0" borderId="0" xfId="0" applyFont="1" applyAlignment="1" applyProtection="1">
      <alignment/>
      <protection/>
    </xf>
    <xf numFmtId="0" fontId="31" fillId="0" borderId="16" xfId="0" applyFont="1" applyBorder="1" applyAlignment="1" applyProtection="1">
      <alignment/>
      <protection/>
    </xf>
    <xf numFmtId="0" fontId="31" fillId="0" borderId="11" xfId="0" applyFont="1" applyBorder="1" applyAlignment="1" applyProtection="1">
      <alignment/>
      <protection/>
    </xf>
    <xf numFmtId="0" fontId="31" fillId="0" borderId="10" xfId="0" applyFont="1" applyBorder="1" applyAlignment="1" applyProtection="1">
      <alignment/>
      <protection/>
    </xf>
    <xf numFmtId="173" fontId="41" fillId="39" borderId="24" xfId="0" applyNumberFormat="1" applyFont="1" applyFill="1" applyBorder="1" applyAlignment="1" applyProtection="1">
      <alignment horizontal="center"/>
      <protection locked="0"/>
    </xf>
    <xf numFmtId="168" fontId="41" fillId="39" borderId="24" xfId="0" applyNumberFormat="1" applyFont="1" applyFill="1" applyBorder="1" applyAlignment="1" applyProtection="1">
      <alignment horizontal="center"/>
      <protection locked="0"/>
    </xf>
    <xf numFmtId="171" fontId="41" fillId="39" borderId="24" xfId="68" applyNumberFormat="1" applyFont="1" applyFill="1" applyBorder="1" applyAlignment="1" applyProtection="1">
      <alignment horizontal="center"/>
      <protection locked="0"/>
    </xf>
    <xf numFmtId="173" fontId="41" fillId="39" borderId="19" xfId="0" applyNumberFormat="1" applyFont="1" applyFill="1" applyBorder="1" applyAlignment="1" applyProtection="1">
      <alignment horizontal="center"/>
      <protection locked="0"/>
    </xf>
    <xf numFmtId="168" fontId="41" fillId="39" borderId="19" xfId="0" applyNumberFormat="1" applyFont="1" applyFill="1" applyBorder="1" applyAlignment="1" applyProtection="1">
      <alignment horizontal="center"/>
      <protection locked="0"/>
    </xf>
    <xf numFmtId="171" fontId="41" fillId="39" borderId="19" xfId="68" applyNumberFormat="1" applyFont="1" applyFill="1" applyBorder="1" applyAlignment="1" applyProtection="1">
      <alignment horizontal="center"/>
      <protection locked="0"/>
    </xf>
    <xf numFmtId="0" fontId="41" fillId="0" borderId="0" xfId="0" applyFont="1" applyFill="1" applyAlignment="1" applyProtection="1">
      <alignment horizontal="right"/>
      <protection locked="0"/>
    </xf>
    <xf numFmtId="3" fontId="42" fillId="0" borderId="0" xfId="0" applyNumberFormat="1" applyFont="1" applyFill="1" applyBorder="1" applyAlignment="1" applyProtection="1">
      <alignment horizontal="right"/>
      <protection locked="0"/>
    </xf>
    <xf numFmtId="3" fontId="41" fillId="0" borderId="0" xfId="0" applyNumberFormat="1" applyFont="1" applyFill="1" applyBorder="1" applyAlignment="1" applyProtection="1">
      <alignment horizontal="right"/>
      <protection locked="0"/>
    </xf>
    <xf numFmtId="2" fontId="41" fillId="0" borderId="0" xfId="0" applyNumberFormat="1" applyFont="1" applyFill="1" applyBorder="1" applyAlignment="1" applyProtection="1">
      <alignment/>
      <protection locked="0"/>
    </xf>
    <xf numFmtId="0" fontId="7" fillId="0" borderId="0" xfId="0" applyFont="1" applyAlignment="1">
      <alignment/>
    </xf>
    <xf numFmtId="0" fontId="20" fillId="0" borderId="0" xfId="54" applyFont="1" applyFill="1" applyBorder="1" applyAlignment="1" applyProtection="1">
      <alignment horizontal="center"/>
      <protection locked="0"/>
    </xf>
    <xf numFmtId="0" fontId="1" fillId="0" borderId="0" xfId="0" applyFont="1" applyAlignment="1">
      <alignment/>
    </xf>
    <xf numFmtId="0" fontId="60" fillId="0" borderId="0" xfId="0" applyFont="1" applyAlignment="1">
      <alignment/>
    </xf>
    <xf numFmtId="0" fontId="1" fillId="0" borderId="0" xfId="0" applyFont="1" applyAlignment="1">
      <alignment/>
    </xf>
    <xf numFmtId="0" fontId="1" fillId="0" borderId="0" xfId="0" applyFont="1" applyAlignment="1" applyProtection="1">
      <alignment horizontal="center"/>
      <protection locked="0"/>
    </xf>
    <xf numFmtId="0" fontId="1" fillId="0" borderId="0" xfId="0" applyFont="1" applyAlignment="1" applyProtection="1">
      <alignment horizontal="center"/>
      <protection locked="0"/>
    </xf>
    <xf numFmtId="0" fontId="1" fillId="0" borderId="41" xfId="0" applyFont="1" applyFill="1" applyBorder="1" applyAlignment="1">
      <alignment/>
    </xf>
    <xf numFmtId="0" fontId="1" fillId="0" borderId="42" xfId="0" applyFont="1" applyFill="1" applyBorder="1" applyAlignment="1">
      <alignment horizontal="center"/>
    </xf>
    <xf numFmtId="0" fontId="3" fillId="0" borderId="0" xfId="0" applyFont="1" applyBorder="1" applyAlignment="1">
      <alignment/>
    </xf>
    <xf numFmtId="0" fontId="1" fillId="0" borderId="19" xfId="0" applyFont="1" applyFill="1" applyBorder="1" applyAlignment="1">
      <alignment/>
    </xf>
    <xf numFmtId="173" fontId="1" fillId="36" borderId="39" xfId="0" applyNumberFormat="1" applyFont="1" applyFill="1" applyBorder="1" applyAlignment="1">
      <alignment/>
    </xf>
    <xf numFmtId="0" fontId="1" fillId="0" borderId="40" xfId="0" applyFont="1" applyFill="1" applyBorder="1" applyAlignment="1">
      <alignment/>
    </xf>
    <xf numFmtId="0" fontId="1" fillId="0" borderId="19" xfId="0" applyFont="1" applyFill="1" applyBorder="1" applyAlignment="1">
      <alignment horizontal="center"/>
    </xf>
    <xf numFmtId="0" fontId="1" fillId="0" borderId="0" xfId="0" applyFont="1" applyFill="1" applyBorder="1" applyAlignment="1" applyProtection="1">
      <alignment horizontal="center"/>
      <protection locked="0"/>
    </xf>
    <xf numFmtId="0" fontId="1" fillId="0" borderId="10" xfId="0" applyFont="1" applyBorder="1" applyAlignment="1">
      <alignment/>
    </xf>
    <xf numFmtId="0" fontId="1" fillId="0" borderId="0" xfId="0" applyFont="1" applyBorder="1" applyAlignment="1">
      <alignment horizontal="center"/>
    </xf>
    <xf numFmtId="0" fontId="1" fillId="0" borderId="32" xfId="0" applyFont="1" applyBorder="1" applyAlignment="1">
      <alignment/>
    </xf>
    <xf numFmtId="0" fontId="1" fillId="0" borderId="10" xfId="0" applyFont="1" applyFill="1" applyBorder="1" applyAlignment="1">
      <alignment/>
    </xf>
    <xf numFmtId="0" fontId="32" fillId="0" borderId="32" xfId="0" applyFont="1" applyFill="1" applyBorder="1" applyAlignment="1" applyProtection="1">
      <alignment/>
      <protection locked="0"/>
    </xf>
    <xf numFmtId="0" fontId="32" fillId="0" borderId="32" xfId="0" applyFont="1" applyFill="1" applyBorder="1" applyAlignment="1">
      <alignment/>
    </xf>
    <xf numFmtId="0" fontId="1" fillId="0" borderId="11" xfId="0" applyFont="1" applyBorder="1" applyAlignment="1">
      <alignment/>
    </xf>
    <xf numFmtId="0" fontId="1" fillId="0" borderId="29" xfId="0" applyFont="1" applyBorder="1" applyAlignment="1">
      <alignment horizontal="center"/>
    </xf>
    <xf numFmtId="0" fontId="32" fillId="0" borderId="33" xfId="0" applyFont="1" applyFill="1" applyBorder="1" applyAlignment="1">
      <alignment/>
    </xf>
    <xf numFmtId="0" fontId="1" fillId="0" borderId="0" xfId="0" applyFont="1" applyBorder="1" applyAlignment="1">
      <alignment/>
    </xf>
    <xf numFmtId="0" fontId="20" fillId="0" borderId="0" xfId="54" applyFont="1" applyFill="1" applyAlignment="1" applyProtection="1">
      <alignment horizontal="center"/>
      <protection locked="0"/>
    </xf>
    <xf numFmtId="0" fontId="20" fillId="0" borderId="0" xfId="54" applyFont="1" applyFill="1" applyAlignment="1" applyProtection="1">
      <alignment horizontal="center"/>
      <protection/>
    </xf>
    <xf numFmtId="0" fontId="12" fillId="0" borderId="0" xfId="0" applyFont="1" applyAlignment="1">
      <alignment/>
    </xf>
    <xf numFmtId="0" fontId="61" fillId="0" borderId="0" xfId="0" applyFont="1" applyAlignment="1">
      <alignment/>
    </xf>
    <xf numFmtId="0" fontId="61" fillId="0" borderId="0" xfId="0" applyFont="1" applyFill="1" applyBorder="1" applyAlignment="1">
      <alignment/>
    </xf>
    <xf numFmtId="0" fontId="65" fillId="0" borderId="0" xfId="0" applyFont="1" applyAlignment="1">
      <alignment/>
    </xf>
    <xf numFmtId="0" fontId="61" fillId="0" borderId="0" xfId="0" applyFont="1" applyFill="1" applyBorder="1" applyAlignment="1">
      <alignment wrapText="1"/>
    </xf>
    <xf numFmtId="0" fontId="61" fillId="0" borderId="0" xfId="0" applyFont="1" applyAlignment="1">
      <alignment wrapText="1"/>
    </xf>
    <xf numFmtId="0" fontId="40" fillId="0" borderId="0" xfId="0" applyFont="1" applyFill="1" applyAlignment="1">
      <alignment horizontal="left" vertical="center" wrapText="1"/>
    </xf>
    <xf numFmtId="0" fontId="61" fillId="0" borderId="0" xfId="0" applyFont="1" applyFill="1" applyAlignment="1">
      <alignment horizontal="left"/>
    </xf>
    <xf numFmtId="0" fontId="61" fillId="0" borderId="0" xfId="0" applyFont="1" applyAlignment="1">
      <alignment horizontal="left"/>
    </xf>
    <xf numFmtId="0" fontId="40" fillId="0" borderId="0" xfId="0" applyFont="1" applyFill="1" applyAlignment="1">
      <alignment horizontal="left" vertical="top" wrapText="1"/>
    </xf>
    <xf numFmtId="0" fontId="61" fillId="0" borderId="0" xfId="0" applyFont="1" applyAlignment="1">
      <alignment/>
    </xf>
    <xf numFmtId="0" fontId="61" fillId="0" borderId="0" xfId="0" applyFont="1" applyAlignment="1">
      <alignment horizontal="left" wrapText="1"/>
    </xf>
    <xf numFmtId="0" fontId="61" fillId="0" borderId="0" xfId="0" applyFont="1" applyBorder="1" applyAlignment="1">
      <alignment/>
    </xf>
    <xf numFmtId="0" fontId="20" fillId="0" borderId="0" xfId="54" applyAlignment="1" applyProtection="1">
      <alignment horizontal="center"/>
      <protection/>
    </xf>
    <xf numFmtId="0" fontId="21" fillId="0" borderId="0" xfId="0" applyFont="1" applyAlignment="1">
      <alignment horizontal="right"/>
    </xf>
    <xf numFmtId="0" fontId="20" fillId="0" borderId="0" xfId="54" applyFill="1" applyAlignment="1" applyProtection="1">
      <alignment horizontal="center"/>
      <protection/>
    </xf>
    <xf numFmtId="3" fontId="20" fillId="0" borderId="0" xfId="54" applyNumberFormat="1" applyFill="1" applyAlignment="1" applyProtection="1">
      <alignment horizontal="center"/>
      <protection/>
    </xf>
    <xf numFmtId="0" fontId="39" fillId="0" borderId="0" xfId="0" applyFont="1" applyAlignment="1">
      <alignment horizontal="center"/>
    </xf>
    <xf numFmtId="0" fontId="1" fillId="0" borderId="0" xfId="0" applyFont="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horizontal="center"/>
      <protection/>
    </xf>
    <xf numFmtId="0" fontId="49" fillId="0" borderId="0" xfId="0" applyFont="1" applyAlignment="1" applyProtection="1">
      <alignment/>
      <protection/>
    </xf>
    <xf numFmtId="0" fontId="1" fillId="0" borderId="0" xfId="0" applyFont="1" applyAlignment="1" applyProtection="1">
      <alignment horizontal="center"/>
      <protection locked="0"/>
    </xf>
    <xf numFmtId="0" fontId="31" fillId="0" borderId="34" xfId="0" applyFont="1" applyBorder="1" applyAlignment="1" applyProtection="1">
      <alignment/>
      <protection/>
    </xf>
    <xf numFmtId="0" fontId="1" fillId="0" borderId="31" xfId="0" applyFont="1" applyBorder="1" applyAlignment="1" applyProtection="1">
      <alignment/>
      <protection/>
    </xf>
    <xf numFmtId="0" fontId="31" fillId="0" borderId="0" xfId="0" applyFont="1" applyBorder="1" applyAlignment="1" applyProtection="1">
      <alignment/>
      <protection/>
    </xf>
    <xf numFmtId="0" fontId="1" fillId="0" borderId="32" xfId="0" applyFont="1" applyBorder="1" applyAlignment="1" applyProtection="1">
      <alignment/>
      <protection/>
    </xf>
    <xf numFmtId="0" fontId="31" fillId="0" borderId="38" xfId="0" applyFont="1" applyBorder="1" applyAlignment="1" applyProtection="1">
      <alignment/>
      <protection/>
    </xf>
    <xf numFmtId="0" fontId="31" fillId="0" borderId="36" xfId="0" applyFont="1" applyBorder="1" applyAlignment="1" applyProtection="1">
      <alignment/>
      <protection/>
    </xf>
    <xf numFmtId="0" fontId="31" fillId="0" borderId="37" xfId="0" applyFont="1" applyBorder="1" applyAlignment="1" applyProtection="1">
      <alignment/>
      <protection/>
    </xf>
    <xf numFmtId="3" fontId="31" fillId="36" borderId="37" xfId="0" applyNumberFormat="1" applyFont="1" applyFill="1" applyBorder="1" applyAlignment="1" applyProtection="1">
      <alignment/>
      <protection locked="0"/>
    </xf>
    <xf numFmtId="0" fontId="31" fillId="0" borderId="31" xfId="0" applyFont="1" applyBorder="1" applyAlignment="1" applyProtection="1">
      <alignment/>
      <protection/>
    </xf>
    <xf numFmtId="0" fontId="31" fillId="0" borderId="29" xfId="0" applyFont="1" applyBorder="1" applyAlignment="1" applyProtection="1">
      <alignment/>
      <protection/>
    </xf>
    <xf numFmtId="0" fontId="31" fillId="0" borderId="33" xfId="0" applyFont="1" applyBorder="1" applyAlignment="1" applyProtection="1">
      <alignment/>
      <protection/>
    </xf>
    <xf numFmtId="171" fontId="31" fillId="36" borderId="33" xfId="0" applyNumberFormat="1" applyFont="1" applyFill="1" applyBorder="1" applyAlignment="1" applyProtection="1">
      <alignment/>
      <protection/>
    </xf>
    <xf numFmtId="0" fontId="38" fillId="0" borderId="29" xfId="0" applyFont="1" applyBorder="1" applyAlignment="1" applyProtection="1">
      <alignment/>
      <protection/>
    </xf>
    <xf numFmtId="0" fontId="38" fillId="0" borderId="33" xfId="0" applyFont="1" applyBorder="1" applyAlignment="1" applyProtection="1">
      <alignment/>
      <protection/>
    </xf>
    <xf numFmtId="172" fontId="38" fillId="38" borderId="33" xfId="0" applyNumberFormat="1" applyFont="1" applyFill="1" applyBorder="1" applyAlignment="1" applyProtection="1">
      <alignment/>
      <protection/>
    </xf>
    <xf numFmtId="0" fontId="1" fillId="0" borderId="34" xfId="0" applyFont="1" applyBorder="1" applyAlignment="1" applyProtection="1">
      <alignment/>
      <protection/>
    </xf>
    <xf numFmtId="0" fontId="1" fillId="0" borderId="0" xfId="0" applyFont="1" applyBorder="1" applyAlignment="1" applyProtection="1">
      <alignment/>
      <protection/>
    </xf>
    <xf numFmtId="171" fontId="31" fillId="36" borderId="44" xfId="0" applyNumberFormat="1" applyFont="1" applyFill="1" applyBorder="1" applyAlignment="1" applyProtection="1">
      <alignment/>
      <protection/>
    </xf>
    <xf numFmtId="0" fontId="1" fillId="0" borderId="11" xfId="0" applyFont="1" applyBorder="1" applyAlignment="1" applyProtection="1">
      <alignment/>
      <protection/>
    </xf>
    <xf numFmtId="172" fontId="38" fillId="38" borderId="14" xfId="0" applyNumberFormat="1" applyFont="1" applyFill="1" applyBorder="1" applyAlignment="1" applyProtection="1">
      <alignment/>
      <protection/>
    </xf>
    <xf numFmtId="0" fontId="1" fillId="0" borderId="10" xfId="0" applyFont="1" applyBorder="1" applyAlignment="1" applyProtection="1">
      <alignment/>
      <protection/>
    </xf>
    <xf numFmtId="0" fontId="1" fillId="0" borderId="0" xfId="0" applyFont="1" applyAlignment="1" applyProtection="1">
      <alignment horizontal="center"/>
      <protection/>
    </xf>
    <xf numFmtId="172" fontId="31" fillId="36" borderId="44" xfId="0" applyNumberFormat="1" applyFont="1" applyFill="1" applyBorder="1" applyAlignment="1" applyProtection="1">
      <alignment/>
      <protection/>
    </xf>
    <xf numFmtId="167" fontId="31" fillId="36" borderId="31" xfId="0" applyNumberFormat="1" applyFont="1" applyFill="1" applyBorder="1" applyAlignment="1" applyProtection="1">
      <alignment/>
      <protection/>
    </xf>
    <xf numFmtId="0" fontId="43" fillId="0" borderId="16" xfId="0" applyFont="1" applyBorder="1" applyAlignment="1" applyProtection="1">
      <alignment/>
      <protection/>
    </xf>
    <xf numFmtId="0" fontId="67" fillId="0" borderId="34" xfId="0" applyFont="1" applyBorder="1" applyAlignment="1" applyProtection="1">
      <alignment/>
      <protection/>
    </xf>
    <xf numFmtId="0" fontId="67" fillId="0" borderId="31" xfId="0" applyFont="1" applyBorder="1" applyAlignment="1" applyProtection="1">
      <alignment/>
      <protection/>
    </xf>
    <xf numFmtId="172" fontId="43" fillId="38" borderId="31" xfId="0" applyNumberFormat="1" applyFont="1" applyFill="1" applyBorder="1" applyAlignment="1" applyProtection="1">
      <alignment/>
      <protection/>
    </xf>
    <xf numFmtId="173" fontId="31" fillId="36" borderId="12" xfId="0" applyNumberFormat="1" applyFont="1" applyFill="1" applyBorder="1" applyAlignment="1" applyProtection="1">
      <alignment/>
      <protection/>
    </xf>
    <xf numFmtId="0" fontId="56" fillId="0" borderId="0" xfId="0" applyFont="1" applyBorder="1" applyAlignment="1" applyProtection="1">
      <alignment/>
      <protection/>
    </xf>
    <xf numFmtId="0" fontId="56" fillId="36" borderId="0" xfId="0" applyFont="1" applyFill="1" applyBorder="1" applyAlignment="1" applyProtection="1">
      <alignment horizontal="right"/>
      <protection/>
    </xf>
    <xf numFmtId="172" fontId="31" fillId="36" borderId="12" xfId="0" applyNumberFormat="1" applyFont="1" applyFill="1" applyBorder="1" applyAlignment="1" applyProtection="1">
      <alignment/>
      <protection/>
    </xf>
    <xf numFmtId="172" fontId="42" fillId="36" borderId="14" xfId="0" applyNumberFormat="1" applyFont="1" applyFill="1" applyBorder="1" applyAlignment="1" applyProtection="1">
      <alignment/>
      <protection/>
    </xf>
    <xf numFmtId="0" fontId="39" fillId="0" borderId="0" xfId="0" applyFont="1" applyBorder="1" applyAlignment="1" applyProtection="1">
      <alignment horizontal="center"/>
      <protection locked="0"/>
    </xf>
    <xf numFmtId="167" fontId="38" fillId="38" borderId="12" xfId="0" applyNumberFormat="1" applyFont="1" applyFill="1" applyBorder="1" applyAlignment="1" applyProtection="1">
      <alignment/>
      <protection locked="0"/>
    </xf>
    <xf numFmtId="0" fontId="41" fillId="39" borderId="19" xfId="0" applyFont="1" applyFill="1" applyBorder="1" applyAlignment="1" applyProtection="1">
      <alignment/>
      <protection locked="0"/>
    </xf>
    <xf numFmtId="0" fontId="41" fillId="39" borderId="19" xfId="0" applyFont="1" applyFill="1" applyBorder="1" applyAlignment="1" applyProtection="1">
      <alignment horizontal="right"/>
      <protection locked="0"/>
    </xf>
    <xf numFmtId="3" fontId="41" fillId="39" borderId="19" xfId="0" applyNumberFormat="1" applyFont="1" applyFill="1" applyBorder="1" applyAlignment="1" applyProtection="1">
      <alignment horizontal="right"/>
      <protection locked="0"/>
    </xf>
    <xf numFmtId="172" fontId="41" fillId="39" borderId="19" xfId="0" applyNumberFormat="1" applyFont="1" applyFill="1" applyBorder="1" applyAlignment="1" applyProtection="1">
      <alignment horizontal="right"/>
      <protection locked="0"/>
    </xf>
    <xf numFmtId="10" fontId="55" fillId="39" borderId="0" xfId="0" applyNumberFormat="1" applyFont="1" applyFill="1" applyBorder="1" applyAlignment="1" applyProtection="1">
      <alignment/>
      <protection locked="0"/>
    </xf>
    <xf numFmtId="10" fontId="55" fillId="39" borderId="0" xfId="0" applyNumberFormat="1" applyFont="1" applyFill="1" applyAlignment="1" applyProtection="1">
      <alignment/>
      <protection locked="0"/>
    </xf>
    <xf numFmtId="10" fontId="55" fillId="39" borderId="0" xfId="0" applyNumberFormat="1" applyFont="1" applyFill="1" applyAlignment="1" applyProtection="1">
      <alignment horizontal="right"/>
      <protection locked="0"/>
    </xf>
    <xf numFmtId="10" fontId="55" fillId="39" borderId="0" xfId="0" applyNumberFormat="1" applyFont="1" applyFill="1" applyBorder="1" applyAlignment="1" applyProtection="1">
      <alignment horizontal="right"/>
      <protection locked="0"/>
    </xf>
    <xf numFmtId="10" fontId="39" fillId="0" borderId="0" xfId="0" applyNumberFormat="1" applyFont="1" applyAlignment="1" applyProtection="1">
      <alignment horizontal="right"/>
      <protection locked="0"/>
    </xf>
    <xf numFmtId="0" fontId="31" fillId="0" borderId="0" xfId="0" applyFont="1" applyAlignment="1" applyProtection="1">
      <alignment/>
      <protection locked="0"/>
    </xf>
    <xf numFmtId="0" fontId="54" fillId="0" borderId="0" xfId="0" applyFont="1" applyAlignment="1" applyProtection="1">
      <alignment/>
      <protection locked="0"/>
    </xf>
    <xf numFmtId="0" fontId="1" fillId="0" borderId="0" xfId="0" applyFont="1" applyAlignment="1" applyProtection="1">
      <alignment/>
      <protection locked="0"/>
    </xf>
    <xf numFmtId="0" fontId="1" fillId="0" borderId="0" xfId="0" applyFont="1" applyBorder="1" applyAlignment="1" applyProtection="1">
      <alignment/>
      <protection locked="0"/>
    </xf>
    <xf numFmtId="0" fontId="1" fillId="0" borderId="0" xfId="0" applyFont="1" applyAlignment="1" applyProtection="1">
      <alignment/>
      <protection locked="0"/>
    </xf>
    <xf numFmtId="0" fontId="1" fillId="0" borderId="0" xfId="0" applyFont="1" applyBorder="1" applyAlignment="1" applyProtection="1">
      <alignment/>
      <protection locked="0"/>
    </xf>
    <xf numFmtId="0" fontId="1" fillId="0" borderId="0" xfId="0" applyFont="1" applyAlignment="1" applyProtection="1">
      <alignment/>
      <protection locked="0"/>
    </xf>
    <xf numFmtId="0" fontId="31" fillId="0" borderId="0" xfId="0" applyFont="1" applyBorder="1" applyAlignment="1" applyProtection="1">
      <alignment horizontal="right"/>
      <protection locked="0"/>
    </xf>
    <xf numFmtId="0" fontId="1" fillId="0" borderId="0" xfId="0" applyFont="1" applyBorder="1" applyAlignment="1" applyProtection="1">
      <alignment/>
      <protection locked="0"/>
    </xf>
    <xf numFmtId="0" fontId="56" fillId="0" borderId="0" xfId="0" applyFont="1" applyBorder="1" applyAlignment="1" applyProtection="1">
      <alignment/>
      <protection locked="0"/>
    </xf>
    <xf numFmtId="0" fontId="1" fillId="0" borderId="0" xfId="0" applyFont="1" applyBorder="1" applyAlignment="1" applyProtection="1">
      <alignment/>
      <protection locked="0"/>
    </xf>
    <xf numFmtId="0" fontId="1" fillId="0" borderId="0" xfId="0" applyFont="1" applyAlignment="1" applyProtection="1">
      <alignment/>
      <protection locked="0"/>
    </xf>
    <xf numFmtId="0" fontId="31" fillId="0" borderId="0" xfId="0" applyFont="1" applyBorder="1" applyAlignment="1" applyProtection="1">
      <alignment/>
      <protection locked="0"/>
    </xf>
    <xf numFmtId="0" fontId="1" fillId="0" borderId="0" xfId="0" applyFont="1" applyFill="1" applyAlignment="1" applyProtection="1">
      <alignment/>
      <protection locked="0"/>
    </xf>
    <xf numFmtId="0" fontId="57" fillId="0" borderId="0" xfId="0" applyFont="1" applyAlignment="1" applyProtection="1">
      <alignment/>
      <protection locked="0"/>
    </xf>
    <xf numFmtId="0" fontId="56" fillId="0" borderId="0" xfId="0" applyFont="1" applyAlignment="1" applyProtection="1">
      <alignment/>
      <protection locked="0"/>
    </xf>
    <xf numFmtId="0" fontId="38" fillId="0" borderId="0" xfId="0" applyFont="1" applyAlignment="1" applyProtection="1">
      <alignment/>
      <protection locked="0"/>
    </xf>
    <xf numFmtId="0" fontId="31" fillId="0" borderId="0" xfId="0" applyFont="1" applyFill="1" applyBorder="1" applyAlignment="1" applyProtection="1">
      <alignment/>
      <protection locked="0"/>
    </xf>
    <xf numFmtId="0" fontId="1" fillId="0" borderId="0" xfId="0" applyFont="1" applyBorder="1" applyAlignment="1" applyProtection="1">
      <alignment/>
      <protection locked="0"/>
    </xf>
    <xf numFmtId="0" fontId="1" fillId="0" borderId="0" xfId="0" applyFont="1" applyAlignment="1" applyProtection="1">
      <alignment/>
      <protection locked="0"/>
    </xf>
    <xf numFmtId="0" fontId="39" fillId="0" borderId="0" xfId="0" applyFont="1" applyFill="1" applyBorder="1" applyAlignment="1" applyProtection="1">
      <alignment/>
      <protection locked="0"/>
    </xf>
    <xf numFmtId="0" fontId="58" fillId="0" borderId="0" xfId="0" applyFont="1" applyAlignment="1" applyProtection="1">
      <alignment/>
      <protection locked="0"/>
    </xf>
    <xf numFmtId="0" fontId="1" fillId="0" borderId="0" xfId="0" applyFont="1" applyAlignment="1" applyProtection="1">
      <alignment/>
      <protection locked="0"/>
    </xf>
    <xf numFmtId="0" fontId="38" fillId="0" borderId="16" xfId="0" applyFont="1" applyBorder="1" applyAlignment="1" applyProtection="1">
      <alignment/>
      <protection locked="0"/>
    </xf>
    <xf numFmtId="0" fontId="1" fillId="0" borderId="0" xfId="0" applyFont="1" applyFill="1" applyAlignment="1" applyProtection="1">
      <alignment/>
      <protection locked="0"/>
    </xf>
    <xf numFmtId="0" fontId="43" fillId="0" borderId="0" xfId="0" applyFont="1" applyAlignment="1" applyProtection="1">
      <alignment/>
      <protection locked="0"/>
    </xf>
    <xf numFmtId="0" fontId="39" fillId="0" borderId="16" xfId="0" applyFont="1" applyBorder="1" applyAlignment="1" applyProtection="1">
      <alignment/>
      <protection locked="0"/>
    </xf>
    <xf numFmtId="0" fontId="31" fillId="0" borderId="31" xfId="0" applyFont="1" applyBorder="1" applyAlignment="1" applyProtection="1">
      <alignment/>
      <protection locked="0"/>
    </xf>
    <xf numFmtId="0" fontId="31" fillId="0" borderId="16" xfId="0" applyFont="1" applyBorder="1" applyAlignment="1" applyProtection="1">
      <alignment/>
      <protection locked="0"/>
    </xf>
    <xf numFmtId="0" fontId="4" fillId="0" borderId="0" xfId="0" applyFont="1" applyAlignment="1" applyProtection="1">
      <alignment/>
      <protection locked="0"/>
    </xf>
    <xf numFmtId="0" fontId="31" fillId="0" borderId="11" xfId="0" applyFont="1" applyBorder="1" applyAlignment="1" applyProtection="1">
      <alignment/>
      <protection locked="0"/>
    </xf>
    <xf numFmtId="0" fontId="31" fillId="0" borderId="10" xfId="0" applyFont="1" applyBorder="1" applyAlignment="1" applyProtection="1">
      <alignment/>
      <protection locked="0"/>
    </xf>
    <xf numFmtId="0" fontId="31" fillId="0" borderId="32" xfId="0" applyFont="1" applyBorder="1" applyAlignment="1" applyProtection="1">
      <alignment/>
      <protection locked="0"/>
    </xf>
    <xf numFmtId="10" fontId="31" fillId="36" borderId="12" xfId="0" applyNumberFormat="1" applyFont="1" applyFill="1" applyBorder="1" applyAlignment="1" applyProtection="1">
      <alignment/>
      <protection locked="0"/>
    </xf>
    <xf numFmtId="0" fontId="1" fillId="0" borderId="43" xfId="0" applyFont="1" applyBorder="1" applyAlignment="1" applyProtection="1">
      <alignment horizontal="right"/>
      <protection locked="0"/>
    </xf>
    <xf numFmtId="9" fontId="1" fillId="0" borderId="45" xfId="0" applyNumberFormat="1" applyFont="1" applyBorder="1" applyAlignment="1" applyProtection="1">
      <alignment horizontal="right"/>
      <protection locked="0"/>
    </xf>
    <xf numFmtId="9" fontId="1" fillId="0" borderId="39" xfId="0" applyNumberFormat="1" applyFont="1" applyBorder="1" applyAlignment="1" applyProtection="1">
      <alignment horizontal="right"/>
      <protection locked="0"/>
    </xf>
    <xf numFmtId="9" fontId="1" fillId="0" borderId="43" xfId="0" applyNumberFormat="1" applyFont="1" applyBorder="1" applyAlignment="1" applyProtection="1">
      <alignment horizontal="right"/>
      <protection locked="0"/>
    </xf>
    <xf numFmtId="167" fontId="39" fillId="38" borderId="12" xfId="0" applyNumberFormat="1" applyFont="1" applyFill="1" applyBorder="1" applyAlignment="1" applyProtection="1">
      <alignment/>
      <protection locked="0"/>
    </xf>
    <xf numFmtId="0" fontId="42" fillId="0" borderId="46" xfId="0" applyFont="1" applyFill="1" applyBorder="1" applyAlignment="1" applyProtection="1">
      <alignment horizontal="center" vertical="top" wrapText="1"/>
      <protection locked="0"/>
    </xf>
    <xf numFmtId="0" fontId="42" fillId="0" borderId="47" xfId="0" applyFont="1" applyFill="1" applyBorder="1" applyAlignment="1" applyProtection="1">
      <alignment horizontal="center" vertical="top" wrapText="1"/>
      <protection locked="0"/>
    </xf>
    <xf numFmtId="0" fontId="42" fillId="0" borderId="48" xfId="0" applyFont="1" applyFill="1" applyBorder="1" applyAlignment="1" applyProtection="1">
      <alignment horizontal="center" vertical="top" wrapText="1"/>
      <protection locked="0"/>
    </xf>
    <xf numFmtId="168" fontId="42" fillId="0" borderId="40" xfId="0" applyNumberFormat="1" applyFont="1" applyFill="1" applyBorder="1" applyAlignment="1" applyProtection="1">
      <alignment horizontal="center"/>
      <protection locked="0"/>
    </xf>
    <xf numFmtId="177" fontId="42" fillId="36" borderId="24" xfId="0" applyNumberFormat="1" applyFont="1" applyFill="1" applyBorder="1" applyAlignment="1" applyProtection="1">
      <alignment horizontal="center"/>
      <protection locked="0"/>
    </xf>
    <xf numFmtId="173" fontId="42" fillId="36" borderId="45" xfId="0" applyNumberFormat="1" applyFont="1" applyFill="1" applyBorder="1" applyAlignment="1" applyProtection="1">
      <alignment horizontal="center"/>
      <protection locked="0"/>
    </xf>
    <xf numFmtId="177" fontId="42" fillId="36" borderId="19" xfId="0" applyNumberFormat="1" applyFont="1" applyFill="1" applyBorder="1" applyAlignment="1" applyProtection="1">
      <alignment horizontal="center"/>
      <protection locked="0"/>
    </xf>
    <xf numFmtId="173" fontId="42" fillId="36" borderId="39" xfId="0" applyNumberFormat="1" applyFont="1" applyFill="1" applyBorder="1" applyAlignment="1" applyProtection="1">
      <alignment horizontal="center"/>
      <protection locked="0"/>
    </xf>
    <xf numFmtId="173" fontId="1" fillId="0" borderId="0" xfId="0" applyNumberFormat="1" applyFont="1" applyAlignment="1" applyProtection="1">
      <alignment/>
      <protection locked="0"/>
    </xf>
    <xf numFmtId="4" fontId="42" fillId="36" borderId="19" xfId="0" applyNumberFormat="1" applyFont="1" applyFill="1" applyBorder="1" applyAlignment="1" applyProtection="1">
      <alignment horizontal="center"/>
      <protection locked="0"/>
    </xf>
    <xf numFmtId="169" fontId="42" fillId="36" borderId="39" xfId="0" applyNumberFormat="1" applyFont="1" applyFill="1" applyBorder="1" applyAlignment="1" applyProtection="1">
      <alignment horizontal="center"/>
      <protection locked="0"/>
    </xf>
    <xf numFmtId="9" fontId="44" fillId="36" borderId="19" xfId="68" applyFont="1" applyFill="1" applyBorder="1" applyAlignment="1" applyProtection="1">
      <alignment horizontal="center" vertical="center"/>
      <protection locked="0"/>
    </xf>
    <xf numFmtId="0" fontId="42" fillId="0" borderId="39" xfId="0" applyFont="1" applyFill="1" applyBorder="1" applyAlignment="1" applyProtection="1">
      <alignment vertical="center"/>
      <protection locked="0"/>
    </xf>
    <xf numFmtId="167" fontId="44" fillId="38" borderId="43" xfId="0" applyNumberFormat="1" applyFont="1" applyFill="1" applyBorder="1" applyAlignment="1" applyProtection="1">
      <alignment horizontal="center" vertical="center"/>
      <protection locked="0"/>
    </xf>
    <xf numFmtId="0" fontId="1" fillId="0" borderId="0" xfId="0" applyFont="1" applyAlignment="1" applyProtection="1">
      <alignment/>
      <protection locked="0"/>
    </xf>
    <xf numFmtId="10" fontId="44" fillId="0" borderId="0" xfId="0" applyNumberFormat="1" applyFont="1" applyFill="1" applyBorder="1" applyAlignment="1" applyProtection="1">
      <alignment horizontal="center"/>
      <protection locked="0"/>
    </xf>
    <xf numFmtId="173" fontId="1" fillId="0" borderId="0" xfId="0" applyNumberFormat="1" applyFont="1" applyAlignment="1" applyProtection="1">
      <alignment/>
      <protection locked="0"/>
    </xf>
    <xf numFmtId="171" fontId="1" fillId="0" borderId="0" xfId="0" applyNumberFormat="1" applyFont="1" applyAlignment="1" applyProtection="1">
      <alignment/>
      <protection locked="0"/>
    </xf>
    <xf numFmtId="173" fontId="1" fillId="0" borderId="0" xfId="0" applyNumberFormat="1" applyFont="1" applyAlignment="1" applyProtection="1">
      <alignment/>
      <protection locked="0"/>
    </xf>
    <xf numFmtId="0" fontId="44" fillId="0" borderId="0" xfId="0" applyFont="1" applyAlignment="1" applyProtection="1">
      <alignment/>
      <protection locked="0"/>
    </xf>
    <xf numFmtId="0" fontId="59" fillId="0" borderId="0" xfId="0" applyFont="1" applyAlignment="1" applyProtection="1">
      <alignment/>
      <protection locked="0"/>
    </xf>
    <xf numFmtId="0" fontId="1" fillId="0" borderId="0" xfId="0" applyFont="1" applyAlignment="1" applyProtection="1">
      <alignment/>
      <protection locked="0"/>
    </xf>
    <xf numFmtId="2" fontId="44" fillId="0" borderId="19" xfId="0" applyNumberFormat="1" applyFont="1" applyBorder="1" applyAlignment="1" applyProtection="1">
      <alignment vertical="center" wrapText="1"/>
      <protection locked="0"/>
    </xf>
    <xf numFmtId="2" fontId="44" fillId="0" borderId="19" xfId="0" applyNumberFormat="1" applyFont="1" applyBorder="1" applyAlignment="1" applyProtection="1">
      <alignment horizontal="right" vertical="center" wrapText="1"/>
      <protection locked="0"/>
    </xf>
    <xf numFmtId="3" fontId="31" fillId="36" borderId="19" xfId="0" applyNumberFormat="1" applyFont="1" applyFill="1" applyBorder="1" applyAlignment="1" applyProtection="1">
      <alignment horizontal="right"/>
      <protection locked="0"/>
    </xf>
    <xf numFmtId="0" fontId="44" fillId="0" borderId="18" xfId="0" applyFont="1" applyBorder="1" applyAlignment="1" applyProtection="1">
      <alignment horizontal="left"/>
      <protection locked="0"/>
    </xf>
    <xf numFmtId="172" fontId="44" fillId="36" borderId="19" xfId="0" applyNumberFormat="1" applyFont="1" applyFill="1" applyBorder="1" applyAlignment="1" applyProtection="1">
      <alignment horizontal="right"/>
      <protection locked="0"/>
    </xf>
    <xf numFmtId="3" fontId="44" fillId="36" borderId="19" xfId="0" applyNumberFormat="1" applyFont="1" applyFill="1" applyBorder="1" applyAlignment="1" applyProtection="1">
      <alignment horizontal="right"/>
      <protection locked="0"/>
    </xf>
    <xf numFmtId="167" fontId="44" fillId="38" borderId="19" xfId="0" applyNumberFormat="1" applyFont="1" applyFill="1" applyBorder="1" applyAlignment="1" applyProtection="1">
      <alignment horizontal="right"/>
      <protection locked="0"/>
    </xf>
    <xf numFmtId="167" fontId="44" fillId="0" borderId="0" xfId="0" applyNumberFormat="1" applyFont="1" applyFill="1" applyAlignment="1" applyProtection="1">
      <alignment/>
      <protection locked="0"/>
    </xf>
    <xf numFmtId="8" fontId="31" fillId="0" borderId="0" xfId="0" applyNumberFormat="1" applyFont="1" applyAlignment="1" applyProtection="1">
      <alignment/>
      <protection locked="0"/>
    </xf>
    <xf numFmtId="3" fontId="31" fillId="0" borderId="0" xfId="0" applyNumberFormat="1" applyFont="1" applyAlignment="1" applyProtection="1">
      <alignment/>
      <protection locked="0"/>
    </xf>
    <xf numFmtId="0" fontId="7" fillId="0" borderId="0" xfId="0" applyFont="1" applyAlignment="1" applyProtection="1">
      <alignment/>
      <protection locked="0"/>
    </xf>
    <xf numFmtId="0" fontId="43" fillId="0" borderId="0" xfId="0" applyFont="1" applyFill="1" applyBorder="1" applyAlignment="1" applyProtection="1">
      <alignment/>
      <protection locked="0"/>
    </xf>
    <xf numFmtId="0" fontId="1" fillId="0" borderId="0" xfId="0" applyFont="1" applyFill="1" applyBorder="1" applyAlignment="1" applyProtection="1">
      <alignment/>
      <protection locked="0"/>
    </xf>
    <xf numFmtId="0" fontId="45" fillId="0" borderId="0" xfId="0" applyFont="1" applyBorder="1" applyAlignment="1" applyProtection="1">
      <alignment vertical="center" wrapText="1"/>
      <protection locked="0"/>
    </xf>
    <xf numFmtId="0" fontId="51" fillId="0" borderId="0" xfId="0" applyFont="1" applyBorder="1" applyAlignment="1" applyProtection="1">
      <alignment vertical="center" wrapText="1"/>
      <protection locked="0"/>
    </xf>
    <xf numFmtId="0" fontId="44" fillId="36" borderId="0" xfId="0" applyFont="1" applyFill="1" applyBorder="1" applyAlignment="1" applyProtection="1">
      <alignment horizontal="right"/>
      <protection locked="0"/>
    </xf>
    <xf numFmtId="167" fontId="44" fillId="36" borderId="0" xfId="0" applyNumberFormat="1" applyFont="1" applyFill="1" applyBorder="1" applyAlignment="1" applyProtection="1">
      <alignment/>
      <protection locked="0"/>
    </xf>
    <xf numFmtId="0" fontId="43" fillId="0" borderId="0" xfId="0" applyFont="1" applyBorder="1" applyAlignment="1" applyProtection="1">
      <alignment/>
      <protection locked="0"/>
    </xf>
    <xf numFmtId="171" fontId="43" fillId="38" borderId="0" xfId="0" applyNumberFormat="1" applyFont="1" applyFill="1" applyBorder="1" applyAlignment="1" applyProtection="1">
      <alignment/>
      <protection locked="0"/>
    </xf>
    <xf numFmtId="0" fontId="3" fillId="0" borderId="0" xfId="0" applyFont="1" applyFill="1" applyBorder="1" applyAlignment="1" applyProtection="1">
      <alignment/>
      <protection locked="0"/>
    </xf>
    <xf numFmtId="2" fontId="40" fillId="0" borderId="0" xfId="0" applyNumberFormat="1" applyFont="1" applyBorder="1" applyAlignment="1" applyProtection="1">
      <alignment horizontal="right"/>
      <protection locked="0"/>
    </xf>
    <xf numFmtId="0" fontId="48" fillId="0" borderId="0" xfId="0" applyFont="1" applyFill="1" applyBorder="1" applyAlignment="1" applyProtection="1">
      <alignment/>
      <protection locked="0"/>
    </xf>
    <xf numFmtId="0" fontId="44" fillId="0" borderId="0" xfId="0" applyFont="1" applyFill="1" applyBorder="1" applyAlignment="1" applyProtection="1">
      <alignment/>
      <protection locked="0"/>
    </xf>
    <xf numFmtId="0" fontId="32" fillId="0" borderId="0" xfId="0" applyFont="1" applyFill="1" applyBorder="1" applyAlignment="1" applyProtection="1">
      <alignment/>
      <protection locked="0"/>
    </xf>
    <xf numFmtId="0" fontId="45" fillId="0" borderId="0" xfId="0" applyFont="1" applyFill="1" applyBorder="1" applyAlignment="1" applyProtection="1">
      <alignment vertical="center" wrapText="1"/>
      <protection locked="0"/>
    </xf>
    <xf numFmtId="0" fontId="51" fillId="0" borderId="0" xfId="0" applyFont="1" applyFill="1" applyBorder="1" applyAlignment="1" applyProtection="1">
      <alignment vertical="center" wrapText="1"/>
      <protection locked="0"/>
    </xf>
    <xf numFmtId="0" fontId="1"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39" fillId="0" borderId="0" xfId="0" applyFont="1" applyFill="1" applyBorder="1" applyAlignment="1" applyProtection="1">
      <alignment horizontal="right"/>
      <protection locked="0"/>
    </xf>
    <xf numFmtId="0" fontId="1" fillId="0" borderId="0" xfId="0" applyFont="1" applyFill="1" applyBorder="1" applyAlignment="1" applyProtection="1">
      <alignment/>
      <protection locked="0"/>
    </xf>
    <xf numFmtId="0" fontId="42" fillId="0" borderId="0" xfId="0" applyFont="1" applyFill="1" applyBorder="1" applyAlignment="1" applyProtection="1">
      <alignment/>
      <protection locked="0"/>
    </xf>
    <xf numFmtId="2" fontId="1" fillId="0" borderId="0" xfId="0" applyNumberFormat="1" applyFont="1" applyFill="1" applyBorder="1" applyAlignment="1" applyProtection="1">
      <alignment/>
      <protection locked="0"/>
    </xf>
    <xf numFmtId="171" fontId="44" fillId="0" borderId="0" xfId="0" applyNumberFormat="1" applyFont="1" applyFill="1" applyBorder="1" applyAlignment="1" applyProtection="1">
      <alignment/>
      <protection locked="0"/>
    </xf>
    <xf numFmtId="0" fontId="1" fillId="0" borderId="0" xfId="0" applyFont="1" applyFill="1" applyBorder="1" applyAlignment="1" applyProtection="1">
      <alignment/>
      <protection locked="0"/>
    </xf>
    <xf numFmtId="0" fontId="2" fillId="0" borderId="0" xfId="0" applyFont="1" applyFill="1" applyBorder="1" applyAlignment="1" applyProtection="1">
      <alignment wrapText="1"/>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horizontal="center"/>
      <protection locked="0"/>
    </xf>
    <xf numFmtId="0" fontId="7" fillId="0" borderId="0" xfId="0" applyFont="1" applyFill="1" applyBorder="1" applyAlignment="1" applyProtection="1">
      <alignment/>
      <protection locked="0"/>
    </xf>
    <xf numFmtId="0" fontId="7" fillId="0" borderId="0" xfId="0" applyFont="1" applyAlignment="1" applyProtection="1">
      <alignment/>
      <protection locked="0"/>
    </xf>
    <xf numFmtId="2" fontId="42" fillId="0" borderId="0" xfId="0" applyNumberFormat="1" applyFont="1" applyFill="1" applyBorder="1" applyAlignment="1" applyProtection="1">
      <alignment/>
      <protection locked="0"/>
    </xf>
    <xf numFmtId="0" fontId="2" fillId="0" borderId="0" xfId="0" applyFont="1" applyFill="1" applyBorder="1" applyAlignment="1" applyProtection="1">
      <alignment wrapText="1"/>
      <protection locked="0"/>
    </xf>
    <xf numFmtId="0" fontId="42" fillId="0" borderId="0" xfId="0" applyFont="1" applyFill="1" applyBorder="1" applyAlignment="1" applyProtection="1">
      <alignment/>
      <protection locked="0"/>
    </xf>
    <xf numFmtId="0" fontId="42" fillId="0" borderId="0" xfId="0" applyFont="1" applyFill="1" applyBorder="1" applyAlignment="1" applyProtection="1">
      <alignment horizontal="center"/>
      <protection locked="0"/>
    </xf>
    <xf numFmtId="0" fontId="31" fillId="0" borderId="0" xfId="0" applyFont="1" applyFill="1" applyBorder="1" applyAlignment="1" applyProtection="1">
      <alignment horizontal="center"/>
      <protection locked="0"/>
    </xf>
    <xf numFmtId="2" fontId="45" fillId="0" borderId="0" xfId="0" applyNumberFormat="1" applyFont="1" applyFill="1" applyBorder="1" applyAlignment="1" applyProtection="1">
      <alignment horizontal="center"/>
      <protection locked="0"/>
    </xf>
    <xf numFmtId="0" fontId="1" fillId="0" borderId="0" xfId="0" applyFont="1" applyFill="1" applyBorder="1" applyAlignment="1" applyProtection="1">
      <alignment/>
      <protection locked="0"/>
    </xf>
    <xf numFmtId="2" fontId="31" fillId="0" borderId="0" xfId="0" applyNumberFormat="1" applyFont="1" applyFill="1" applyBorder="1" applyAlignment="1" applyProtection="1">
      <alignment/>
      <protection locked="0"/>
    </xf>
    <xf numFmtId="0" fontId="38" fillId="0" borderId="0" xfId="0" applyFont="1" applyFill="1" applyBorder="1" applyAlignment="1" applyProtection="1">
      <alignment wrapText="1"/>
      <protection locked="0"/>
    </xf>
    <xf numFmtId="2" fontId="31" fillId="0" borderId="0" xfId="0" applyNumberFormat="1" applyFont="1" applyAlignment="1" applyProtection="1">
      <alignment/>
      <protection locked="0"/>
    </xf>
    <xf numFmtId="0" fontId="42" fillId="0" borderId="0" xfId="0" applyFont="1" applyBorder="1" applyAlignment="1" applyProtection="1">
      <alignment/>
      <protection locked="0"/>
    </xf>
    <xf numFmtId="0" fontId="42" fillId="0" borderId="0" xfId="0" applyFont="1" applyBorder="1" applyAlignment="1" applyProtection="1">
      <alignment horizontal="center"/>
      <protection locked="0"/>
    </xf>
    <xf numFmtId="2" fontId="1" fillId="0" borderId="0" xfId="0" applyNumberFormat="1" applyFont="1" applyAlignment="1" applyProtection="1">
      <alignment/>
      <protection locked="0"/>
    </xf>
    <xf numFmtId="2" fontId="1" fillId="0" borderId="0" xfId="0" applyNumberFormat="1" applyFont="1" applyAlignment="1" applyProtection="1">
      <alignment/>
      <protection locked="0"/>
    </xf>
    <xf numFmtId="1" fontId="1" fillId="0" borderId="0" xfId="0" applyNumberFormat="1" applyFont="1" applyAlignment="1" applyProtection="1">
      <alignment/>
      <protection locked="0"/>
    </xf>
    <xf numFmtId="10" fontId="7" fillId="0" borderId="0" xfId="0" applyNumberFormat="1" applyFont="1" applyFill="1" applyAlignment="1" applyProtection="1">
      <alignment/>
      <protection locked="0"/>
    </xf>
    <xf numFmtId="0" fontId="50" fillId="0" borderId="0" xfId="54" applyFont="1" applyFill="1" applyAlignment="1" applyProtection="1">
      <alignment horizontal="center"/>
      <protection locked="0"/>
    </xf>
    <xf numFmtId="0" fontId="42" fillId="0" borderId="0" xfId="0" applyFont="1" applyFill="1" applyAlignment="1" applyProtection="1">
      <alignment horizontal="center"/>
      <protection locked="0"/>
    </xf>
    <xf numFmtId="0" fontId="31" fillId="0" borderId="0" xfId="65" applyNumberFormat="1" applyFont="1" applyFill="1" applyBorder="1" applyAlignment="1">
      <alignment wrapText="1"/>
      <protection/>
    </xf>
    <xf numFmtId="0" fontId="31" fillId="35" borderId="0" xfId="65" applyNumberFormat="1" applyFont="1" applyFill="1" applyBorder="1" applyAlignment="1">
      <alignment wrapText="1"/>
      <protection/>
    </xf>
    <xf numFmtId="0" fontId="31" fillId="35" borderId="0" xfId="65" applyFont="1" applyFill="1">
      <alignment/>
      <protection/>
    </xf>
    <xf numFmtId="0" fontId="39" fillId="35" borderId="0" xfId="65" applyNumberFormat="1" applyFont="1" applyFill="1" applyBorder="1" applyAlignment="1">
      <alignment wrapText="1"/>
      <protection/>
    </xf>
    <xf numFmtId="0" fontId="27" fillId="0" borderId="0" xfId="65" applyFont="1" applyFill="1">
      <alignment/>
      <protection/>
    </xf>
    <xf numFmtId="0" fontId="31" fillId="0" borderId="0" xfId="65" applyFont="1" applyFill="1" applyAlignment="1">
      <alignment wrapText="1"/>
      <protection/>
    </xf>
    <xf numFmtId="8" fontId="31" fillId="0" borderId="0" xfId="65" applyNumberFormat="1" applyFont="1" applyFill="1">
      <alignment/>
      <protection/>
    </xf>
    <xf numFmtId="8" fontId="39" fillId="0" borderId="0" xfId="65" applyNumberFormat="1" applyFont="1" applyFill="1" applyBorder="1">
      <alignment/>
      <protection/>
    </xf>
    <xf numFmtId="0" fontId="45" fillId="0" borderId="0" xfId="65" applyFont="1" applyFill="1" applyBorder="1">
      <alignment/>
      <protection/>
    </xf>
    <xf numFmtId="8" fontId="45" fillId="0" borderId="0" xfId="65" applyNumberFormat="1" applyFont="1" applyFill="1" applyBorder="1">
      <alignment/>
      <protection/>
    </xf>
    <xf numFmtId="167" fontId="39" fillId="0" borderId="0" xfId="65" applyNumberFormat="1" applyFont="1" applyFill="1" applyBorder="1">
      <alignment/>
      <protection/>
    </xf>
    <xf numFmtId="170" fontId="39" fillId="0" borderId="0" xfId="65" applyNumberFormat="1" applyFont="1" applyFill="1" applyBorder="1">
      <alignment/>
      <protection/>
    </xf>
    <xf numFmtId="9" fontId="31" fillId="35" borderId="0" xfId="65" applyNumberFormat="1" applyFont="1" applyFill="1">
      <alignment/>
      <protection/>
    </xf>
    <xf numFmtId="8" fontId="31" fillId="35" borderId="0" xfId="65" applyNumberFormat="1" applyFont="1" applyFill="1">
      <alignment/>
      <protection/>
    </xf>
    <xf numFmtId="8" fontId="68" fillId="40" borderId="0" xfId="65" applyNumberFormat="1" applyFont="1" applyFill="1" applyBorder="1">
      <alignment/>
      <protection/>
    </xf>
    <xf numFmtId="0" fontId="68" fillId="40" borderId="0" xfId="65" applyFont="1" applyFill="1" applyBorder="1">
      <alignment/>
      <protection/>
    </xf>
    <xf numFmtId="9" fontId="68" fillId="40" borderId="0" xfId="65" applyNumberFormat="1" applyFont="1" applyFill="1" applyBorder="1">
      <alignment/>
      <protection/>
    </xf>
    <xf numFmtId="0" fontId="69" fillId="40" borderId="0" xfId="65" applyFont="1" applyFill="1" applyBorder="1">
      <alignment/>
      <protection/>
    </xf>
    <xf numFmtId="8" fontId="69" fillId="40" borderId="0" xfId="65" applyNumberFormat="1" applyFont="1" applyFill="1" applyBorder="1">
      <alignment/>
      <protection/>
    </xf>
    <xf numFmtId="8" fontId="70" fillId="40" borderId="29" xfId="65" applyNumberFormat="1" applyFont="1" applyFill="1" applyBorder="1">
      <alignment/>
      <protection/>
    </xf>
    <xf numFmtId="8" fontId="72" fillId="35" borderId="0" xfId="65" applyNumberFormat="1" applyFont="1" applyFill="1">
      <alignment/>
      <protection/>
    </xf>
    <xf numFmtId="0" fontId="31" fillId="40" borderId="10" xfId="65" applyNumberFormat="1" applyFont="1" applyFill="1" applyBorder="1" applyAlignment="1">
      <alignment wrapText="1"/>
      <protection/>
    </xf>
    <xf numFmtId="2" fontId="31" fillId="35" borderId="0" xfId="65" applyNumberFormat="1" applyFont="1" applyFill="1">
      <alignment/>
      <protection/>
    </xf>
    <xf numFmtId="0" fontId="20" fillId="0" borderId="0" xfId="54" applyFont="1" applyAlignment="1" applyProtection="1">
      <alignment/>
      <protection/>
    </xf>
    <xf numFmtId="0" fontId="20" fillId="0" borderId="0" xfId="54" applyAlignment="1" applyProtection="1">
      <alignment/>
      <protection/>
    </xf>
    <xf numFmtId="2" fontId="73" fillId="0" borderId="0" xfId="0" applyNumberFormat="1" applyFont="1" applyBorder="1" applyAlignment="1">
      <alignment/>
    </xf>
    <xf numFmtId="2" fontId="0" fillId="0" borderId="0" xfId="0" applyNumberFormat="1" applyBorder="1" applyAlignment="1">
      <alignment/>
    </xf>
    <xf numFmtId="0" fontId="30" fillId="37" borderId="38" xfId="63" applyFont="1" applyFill="1" applyBorder="1">
      <alignment/>
      <protection/>
    </xf>
    <xf numFmtId="0" fontId="16" fillId="0" borderId="49" xfId="0" applyFont="1" applyBorder="1" applyAlignment="1">
      <alignment horizontal="left"/>
    </xf>
    <xf numFmtId="2" fontId="16" fillId="43" borderId="50" xfId="0" applyNumberFormat="1" applyFont="1" applyFill="1" applyBorder="1" applyAlignment="1">
      <alignment horizontal="center"/>
    </xf>
    <xf numFmtId="0" fontId="16" fillId="43" borderId="51" xfId="0" applyFont="1" applyFill="1" applyBorder="1" applyAlignment="1">
      <alignment horizontal="center"/>
    </xf>
    <xf numFmtId="0" fontId="16" fillId="0" borderId="40" xfId="0" applyFont="1" applyBorder="1" applyAlignment="1">
      <alignment horizontal="left"/>
    </xf>
    <xf numFmtId="2" fontId="16" fillId="43" borderId="39" xfId="0" applyNumberFormat="1" applyFont="1" applyFill="1" applyBorder="1" applyAlignment="1">
      <alignment horizontal="center"/>
    </xf>
    <xf numFmtId="2" fontId="16" fillId="33" borderId="39" xfId="0" applyNumberFormat="1" applyFont="1" applyFill="1" applyBorder="1" applyAlignment="1">
      <alignment horizontal="center"/>
    </xf>
    <xf numFmtId="0" fontId="13" fillId="0" borderId="41" xfId="0" applyFont="1" applyBorder="1" applyAlignment="1">
      <alignment/>
    </xf>
    <xf numFmtId="2" fontId="13" fillId="33" borderId="43" xfId="0" applyNumberFormat="1" applyFont="1" applyFill="1" applyBorder="1" applyAlignment="1">
      <alignment horizontal="center"/>
    </xf>
    <xf numFmtId="0" fontId="1" fillId="0" borderId="19" xfId="64" applyFont="1" applyBorder="1" applyAlignment="1">
      <alignment horizontal="center" vertical="center" wrapText="1"/>
      <protection/>
    </xf>
    <xf numFmtId="171" fontId="1" fillId="0" borderId="19" xfId="68" applyNumberFormat="1" applyFont="1" applyBorder="1" applyAlignment="1">
      <alignment horizontal="center" vertical="center" wrapText="1"/>
    </xf>
    <xf numFmtId="0" fontId="1" fillId="0" borderId="17" xfId="64" applyFont="1" applyBorder="1" applyAlignment="1">
      <alignment horizontal="center" vertical="center" wrapText="1"/>
      <protection/>
    </xf>
    <xf numFmtId="0" fontId="1" fillId="0" borderId="18" xfId="64" applyFont="1" applyBorder="1" applyAlignment="1">
      <alignment horizontal="center" vertical="center" wrapText="1"/>
      <protection/>
    </xf>
    <xf numFmtId="3" fontId="40" fillId="0" borderId="19" xfId="0" applyNumberFormat="1" applyFont="1" applyFill="1" applyBorder="1" applyAlignment="1">
      <alignment horizontal="center" vertical="center" wrapText="1"/>
    </xf>
    <xf numFmtId="3" fontId="40" fillId="0" borderId="18" xfId="0" applyNumberFormat="1" applyFont="1" applyFill="1" applyBorder="1" applyAlignment="1">
      <alignment horizontal="center" vertical="center"/>
    </xf>
    <xf numFmtId="3" fontId="40" fillId="0" borderId="17" xfId="0" applyNumberFormat="1" applyFont="1" applyFill="1" applyBorder="1" applyAlignment="1">
      <alignment horizontal="center" vertical="center"/>
    </xf>
    <xf numFmtId="3" fontId="40" fillId="0" borderId="25" xfId="0" applyNumberFormat="1" applyFont="1" applyFill="1" applyBorder="1" applyAlignment="1">
      <alignment horizontal="center" vertical="center"/>
    </xf>
    <xf numFmtId="3" fontId="40" fillId="0" borderId="27" xfId="0" applyNumberFormat="1" applyFont="1" applyFill="1" applyBorder="1" applyAlignment="1">
      <alignment horizontal="center" vertical="center"/>
    </xf>
    <xf numFmtId="3" fontId="40" fillId="0" borderId="26" xfId="0" applyNumberFormat="1" applyFont="1" applyFill="1" applyBorder="1" applyAlignment="1">
      <alignment horizontal="center" vertical="center"/>
    </xf>
    <xf numFmtId="3" fontId="40" fillId="0" borderId="28" xfId="0" applyNumberFormat="1" applyFont="1" applyFill="1" applyBorder="1" applyAlignment="1">
      <alignment horizontal="center" vertical="center"/>
    </xf>
    <xf numFmtId="3" fontId="40" fillId="0" borderId="0" xfId="0" applyNumberFormat="1" applyFont="1" applyFill="1" applyBorder="1" applyAlignment="1">
      <alignment horizontal="center" vertical="center"/>
    </xf>
    <xf numFmtId="3" fontId="40" fillId="0" borderId="24" xfId="0" applyNumberFormat="1" applyFont="1" applyFill="1" applyBorder="1" applyAlignment="1">
      <alignment horizontal="center" vertical="center"/>
    </xf>
    <xf numFmtId="3" fontId="40" fillId="0" borderId="21" xfId="0" applyNumberFormat="1" applyFont="1" applyFill="1" applyBorder="1" applyAlignment="1">
      <alignment horizontal="center" vertical="center"/>
    </xf>
    <xf numFmtId="3" fontId="40" fillId="0" borderId="20" xfId="0" applyNumberFormat="1" applyFont="1" applyFill="1" applyBorder="1" applyAlignment="1">
      <alignment horizontal="center" vertical="center"/>
    </xf>
    <xf numFmtId="3" fontId="40" fillId="0" borderId="23" xfId="0" applyNumberFormat="1" applyFont="1" applyFill="1" applyBorder="1" applyAlignment="1">
      <alignment horizontal="center" vertical="center"/>
    </xf>
    <xf numFmtId="0" fontId="32" fillId="0" borderId="0" xfId="0" applyFont="1" applyAlignment="1">
      <alignment/>
    </xf>
    <xf numFmtId="0" fontId="0" fillId="0" borderId="0" xfId="0" applyAlignment="1">
      <alignment/>
    </xf>
    <xf numFmtId="0" fontId="0" fillId="36" borderId="0" xfId="0" applyFill="1" applyAlignment="1">
      <alignment/>
    </xf>
    <xf numFmtId="2" fontId="16" fillId="36" borderId="0" xfId="0" applyNumberFormat="1" applyFont="1" applyFill="1" applyBorder="1" applyAlignment="1">
      <alignment horizontal="left"/>
    </xf>
    <xf numFmtId="2" fontId="16" fillId="36" borderId="0" xfId="0" applyNumberFormat="1" applyFont="1" applyFill="1" applyBorder="1" applyAlignment="1">
      <alignment horizontal="center"/>
    </xf>
    <xf numFmtId="171" fontId="47" fillId="36" borderId="0" xfId="0" applyNumberFormat="1" applyFont="1" applyFill="1" applyBorder="1" applyAlignment="1">
      <alignment horizontal="right"/>
    </xf>
    <xf numFmtId="164" fontId="47" fillId="36" borderId="0" xfId="0" applyNumberFormat="1" applyFont="1" applyFill="1" applyBorder="1" applyAlignment="1">
      <alignment horizontal="right"/>
    </xf>
    <xf numFmtId="164" fontId="74" fillId="36" borderId="0" xfId="0" applyNumberFormat="1" applyFont="1" applyFill="1" applyBorder="1" applyAlignment="1">
      <alignment horizontal="right"/>
    </xf>
    <xf numFmtId="2" fontId="0" fillId="36" borderId="0" xfId="0" applyNumberFormat="1" applyFill="1" applyAlignment="1">
      <alignment/>
    </xf>
    <xf numFmtId="171" fontId="28" fillId="0" borderId="0" xfId="0" applyNumberFormat="1" applyFont="1" applyBorder="1" applyAlignment="1">
      <alignment horizontal="right"/>
    </xf>
    <xf numFmtId="171" fontId="28" fillId="0" borderId="29" xfId="0" applyNumberFormat="1" applyFont="1" applyBorder="1" applyAlignment="1">
      <alignment horizontal="right"/>
    </xf>
    <xf numFmtId="2" fontId="16" fillId="33" borderId="50" xfId="0" applyNumberFormat="1" applyFont="1" applyFill="1" applyBorder="1" applyAlignment="1">
      <alignment horizontal="center"/>
    </xf>
    <xf numFmtId="2" fontId="16" fillId="33" borderId="47" xfId="0" applyNumberFormat="1" applyFont="1" applyFill="1" applyBorder="1" applyAlignment="1">
      <alignment horizontal="center"/>
    </xf>
    <xf numFmtId="0" fontId="0" fillId="0" borderId="38" xfId="0" applyBorder="1" applyAlignment="1">
      <alignment/>
    </xf>
    <xf numFmtId="0" fontId="0" fillId="0" borderId="37" xfId="0" applyBorder="1" applyAlignment="1">
      <alignment/>
    </xf>
    <xf numFmtId="0" fontId="0" fillId="0" borderId="10" xfId="0" applyBorder="1" applyAlignment="1">
      <alignment/>
    </xf>
    <xf numFmtId="0" fontId="0" fillId="0" borderId="11" xfId="0" applyBorder="1" applyAlignment="1">
      <alignment/>
    </xf>
    <xf numFmtId="0" fontId="0" fillId="43" borderId="38" xfId="0" applyFill="1" applyBorder="1" applyAlignment="1">
      <alignment/>
    </xf>
    <xf numFmtId="0" fontId="0" fillId="43" borderId="37" xfId="0" applyFill="1" applyBorder="1" applyAlignment="1">
      <alignment/>
    </xf>
    <xf numFmtId="0" fontId="0" fillId="43" borderId="10" xfId="0" applyFill="1" applyBorder="1" applyAlignment="1">
      <alignment/>
    </xf>
    <xf numFmtId="0" fontId="0" fillId="43" borderId="32"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0" borderId="36" xfId="0" applyBorder="1" applyAlignment="1">
      <alignment/>
    </xf>
    <xf numFmtId="0" fontId="0" fillId="0" borderId="0" xfId="0" applyBorder="1" applyAlignment="1">
      <alignment/>
    </xf>
    <xf numFmtId="0" fontId="0" fillId="0" borderId="29" xfId="0" applyBorder="1" applyAlignment="1">
      <alignment/>
    </xf>
    <xf numFmtId="0" fontId="0" fillId="33" borderId="38" xfId="0" applyFill="1" applyBorder="1" applyAlignment="1">
      <alignment/>
    </xf>
    <xf numFmtId="0" fontId="0" fillId="33" borderId="36" xfId="0" applyFill="1" applyBorder="1" applyAlignment="1">
      <alignment/>
    </xf>
    <xf numFmtId="2" fontId="0" fillId="33" borderId="37" xfId="0" applyNumberFormat="1" applyFill="1" applyBorder="1" applyAlignment="1">
      <alignment/>
    </xf>
    <xf numFmtId="0" fontId="0" fillId="33" borderId="0" xfId="0" applyFill="1" applyBorder="1" applyAlignment="1">
      <alignment/>
    </xf>
    <xf numFmtId="2" fontId="0" fillId="33" borderId="32" xfId="0" applyNumberFormat="1" applyFill="1" applyBorder="1" applyAlignment="1">
      <alignment/>
    </xf>
    <xf numFmtId="0" fontId="4" fillId="0" borderId="0" xfId="0" applyFont="1" applyAlignment="1">
      <alignment/>
    </xf>
    <xf numFmtId="0" fontId="32" fillId="39" borderId="36" xfId="0" applyFont="1" applyFill="1" applyBorder="1" applyAlignment="1">
      <alignment/>
    </xf>
    <xf numFmtId="0" fontId="3" fillId="0" borderId="38" xfId="0" applyFont="1" applyBorder="1" applyAlignment="1">
      <alignment/>
    </xf>
    <xf numFmtId="0" fontId="3" fillId="0" borderId="10" xfId="0" applyFont="1" applyBorder="1" applyAlignment="1">
      <alignment/>
    </xf>
    <xf numFmtId="0" fontId="3" fillId="0" borderId="11" xfId="0" applyFont="1" applyBorder="1" applyAlignment="1">
      <alignment/>
    </xf>
    <xf numFmtId="0" fontId="13" fillId="0" borderId="30" xfId="64" applyFont="1" applyBorder="1" applyAlignment="1">
      <alignment horizontal="center" vertical="center" wrapText="1"/>
      <protection/>
    </xf>
    <xf numFmtId="164" fontId="0" fillId="0" borderId="32" xfId="0" applyNumberFormat="1" applyBorder="1" applyAlignment="1" quotePrefix="1">
      <alignment/>
    </xf>
    <xf numFmtId="164" fontId="0" fillId="0" borderId="33" xfId="0" applyNumberFormat="1" applyBorder="1" applyAlignment="1" quotePrefix="1">
      <alignment/>
    </xf>
    <xf numFmtId="0" fontId="41" fillId="39" borderId="36" xfId="0" applyFont="1" applyFill="1" applyBorder="1" applyAlignment="1">
      <alignment/>
    </xf>
    <xf numFmtId="0" fontId="41" fillId="39" borderId="0" xfId="0" applyFont="1" applyFill="1" applyBorder="1" applyAlignment="1">
      <alignment/>
    </xf>
    <xf numFmtId="0" fontId="13" fillId="0" borderId="22" xfId="64" applyFont="1" applyBorder="1" applyAlignment="1">
      <alignment horizontal="center" vertical="center" wrapText="1"/>
      <protection/>
    </xf>
    <xf numFmtId="2" fontId="13" fillId="0" borderId="25" xfId="64" applyNumberFormat="1" applyFont="1" applyBorder="1" applyAlignment="1">
      <alignment horizontal="center"/>
      <protection/>
    </xf>
    <xf numFmtId="2" fontId="13" fillId="0" borderId="23" xfId="64" applyNumberFormat="1" applyFont="1" applyBorder="1" applyAlignment="1">
      <alignment horizontal="center"/>
      <protection/>
    </xf>
    <xf numFmtId="175" fontId="13" fillId="0" borderId="22" xfId="64" applyNumberFormat="1" applyFont="1" applyFill="1" applyBorder="1">
      <alignment/>
      <protection/>
    </xf>
    <xf numFmtId="175" fontId="13" fillId="0" borderId="23" xfId="64" applyNumberFormat="1" applyFont="1" applyFill="1" applyBorder="1">
      <alignment/>
      <protection/>
    </xf>
    <xf numFmtId="2" fontId="13" fillId="0" borderId="19" xfId="64" applyNumberFormat="1" applyFont="1" applyBorder="1" applyAlignment="1">
      <alignment horizontal="center"/>
      <protection/>
    </xf>
    <xf numFmtId="2" fontId="13" fillId="0" borderId="24" xfId="64" applyNumberFormat="1" applyFont="1" applyBorder="1" applyAlignment="1">
      <alignment horizontal="center"/>
      <protection/>
    </xf>
    <xf numFmtId="0" fontId="1" fillId="0" borderId="0" xfId="0" applyFont="1" applyAlignment="1" applyProtection="1">
      <alignment/>
      <protection locked="0"/>
    </xf>
    <xf numFmtId="0" fontId="1" fillId="0" borderId="41" xfId="0" applyFont="1" applyBorder="1" applyAlignment="1" applyProtection="1">
      <alignment/>
      <protection locked="0"/>
    </xf>
    <xf numFmtId="0" fontId="1" fillId="0" borderId="52" xfId="0" applyFont="1" applyBorder="1" applyAlignment="1" applyProtection="1">
      <alignment/>
      <protection locked="0"/>
    </xf>
    <xf numFmtId="0" fontId="1" fillId="0" borderId="40" xfId="0" applyFont="1" applyBorder="1" applyAlignment="1" applyProtection="1">
      <alignment/>
      <protection locked="0"/>
    </xf>
    <xf numFmtId="0" fontId="36" fillId="0" borderId="0" xfId="54" applyFont="1" applyAlignment="1" applyProtection="1">
      <alignment horizontal="left"/>
      <protection locked="0"/>
    </xf>
    <xf numFmtId="0" fontId="15" fillId="0" borderId="0" xfId="64" applyFont="1">
      <alignment/>
      <protection/>
    </xf>
    <xf numFmtId="0" fontId="75" fillId="0" borderId="0" xfId="64" applyFont="1">
      <alignment/>
      <protection/>
    </xf>
    <xf numFmtId="0" fontId="15" fillId="0" borderId="23" xfId="64" applyFont="1" applyBorder="1">
      <alignment/>
      <protection/>
    </xf>
    <xf numFmtId="9" fontId="13" fillId="0" borderId="23" xfId="68" applyFont="1" applyBorder="1" applyAlignment="1">
      <alignment/>
    </xf>
    <xf numFmtId="0" fontId="15" fillId="0" borderId="0" xfId="64" applyFont="1" applyBorder="1">
      <alignment/>
      <protection/>
    </xf>
    <xf numFmtId="9" fontId="13" fillId="0" borderId="0" xfId="68" applyFont="1" applyBorder="1" applyAlignment="1">
      <alignment/>
    </xf>
    <xf numFmtId="0" fontId="13" fillId="0" borderId="23" xfId="64" applyFont="1" applyFill="1" applyBorder="1">
      <alignment/>
      <protection/>
    </xf>
    <xf numFmtId="9" fontId="13" fillId="0" borderId="23" xfId="68" applyFont="1" applyFill="1" applyBorder="1" applyAlignment="1">
      <alignment/>
    </xf>
    <xf numFmtId="175" fontId="13" fillId="0" borderId="19" xfId="64" applyNumberFormat="1" applyFont="1" applyFill="1" applyBorder="1">
      <alignment/>
      <protection/>
    </xf>
    <xf numFmtId="0" fontId="24" fillId="0" borderId="0" xfId="64" applyFont="1">
      <alignment/>
      <protection/>
    </xf>
    <xf numFmtId="0" fontId="28" fillId="0" borderId="0" xfId="64" applyFont="1" applyBorder="1">
      <alignment/>
      <protection/>
    </xf>
    <xf numFmtId="0" fontId="28" fillId="0" borderId="0" xfId="64" applyBorder="1">
      <alignment/>
      <protection/>
    </xf>
    <xf numFmtId="0" fontId="75" fillId="0" borderId="0" xfId="64" applyFont="1" applyBorder="1" applyAlignment="1">
      <alignment horizontal="right"/>
      <protection/>
    </xf>
    <xf numFmtId="171" fontId="25" fillId="0" borderId="12" xfId="64" applyNumberFormat="1" applyFont="1" applyBorder="1">
      <alignment/>
      <protection/>
    </xf>
    <xf numFmtId="171" fontId="24" fillId="38" borderId="12" xfId="64" applyNumberFormat="1" applyFont="1" applyFill="1" applyBorder="1">
      <alignment/>
      <protection/>
    </xf>
    <xf numFmtId="0" fontId="25" fillId="0" borderId="0" xfId="64" applyFont="1" applyBorder="1" applyAlignment="1">
      <alignment horizontal="center"/>
      <protection/>
    </xf>
    <xf numFmtId="0" fontId="25" fillId="0" borderId="0" xfId="64" applyFont="1" applyBorder="1">
      <alignment/>
      <protection/>
    </xf>
    <xf numFmtId="171" fontId="25" fillId="0" borderId="0" xfId="64" applyNumberFormat="1" applyFont="1" applyBorder="1">
      <alignment/>
      <protection/>
    </xf>
    <xf numFmtId="171" fontId="26" fillId="0" borderId="0" xfId="64" applyNumberFormat="1" applyFont="1" applyBorder="1">
      <alignment/>
      <protection/>
    </xf>
    <xf numFmtId="0" fontId="15" fillId="0" borderId="0" xfId="64" applyFont="1" applyAlignment="1">
      <alignment horizontal="left"/>
      <protection/>
    </xf>
    <xf numFmtId="0" fontId="13" fillId="0" borderId="0" xfId="64" applyFont="1" applyAlignment="1">
      <alignment horizontal="left"/>
      <protection/>
    </xf>
    <xf numFmtId="0" fontId="13" fillId="0" borderId="23" xfId="64" applyFont="1" applyFill="1" applyBorder="1" applyAlignment="1">
      <alignment horizontal="left"/>
      <protection/>
    </xf>
    <xf numFmtId="166" fontId="31" fillId="0" borderId="0" xfId="0" applyNumberFormat="1" applyFont="1" applyAlignment="1" applyProtection="1">
      <alignment/>
      <protection locked="0"/>
    </xf>
    <xf numFmtId="171" fontId="44" fillId="36" borderId="0" xfId="68" applyNumberFormat="1" applyFont="1" applyFill="1" applyAlignment="1" applyProtection="1">
      <alignment/>
      <protection/>
    </xf>
    <xf numFmtId="164" fontId="42" fillId="36" borderId="36" xfId="0" applyNumberFormat="1" applyFont="1" applyFill="1" applyBorder="1" applyAlignment="1">
      <alignment horizontal="center"/>
    </xf>
    <xf numFmtId="164" fontId="31" fillId="36" borderId="36" xfId="0" applyNumberFormat="1" applyFont="1" applyFill="1" applyBorder="1" applyAlignment="1">
      <alignment horizontal="center"/>
    </xf>
    <xf numFmtId="171" fontId="31" fillId="36" borderId="36" xfId="68" applyNumberFormat="1" applyFont="1" applyFill="1" applyBorder="1" applyAlignment="1">
      <alignment/>
    </xf>
    <xf numFmtId="0" fontId="39" fillId="0" borderId="0" xfId="65" applyFont="1" applyFill="1" applyAlignment="1">
      <alignment horizontal="right" wrapText="1"/>
      <protection/>
    </xf>
    <xf numFmtId="0" fontId="76" fillId="0" borderId="0" xfId="65" applyFont="1" applyFill="1">
      <alignment/>
      <protection/>
    </xf>
    <xf numFmtId="0" fontId="38" fillId="0" borderId="0" xfId="65" applyNumberFormat="1" applyFont="1" applyFill="1" applyBorder="1" applyAlignment="1">
      <alignment wrapText="1"/>
      <protection/>
    </xf>
    <xf numFmtId="0" fontId="76" fillId="0" borderId="0" xfId="65" applyFont="1" applyFill="1" applyBorder="1">
      <alignment/>
      <protection/>
    </xf>
    <xf numFmtId="0" fontId="77" fillId="0" borderId="0" xfId="65" applyFont="1" applyFill="1">
      <alignment/>
      <protection/>
    </xf>
    <xf numFmtId="0" fontId="39" fillId="35" borderId="0" xfId="65" applyFont="1" applyFill="1" applyAlignment="1">
      <alignment horizontal="right" wrapText="1"/>
      <protection/>
    </xf>
    <xf numFmtId="0" fontId="39" fillId="35" borderId="0" xfId="65" applyFont="1" applyFill="1" applyAlignment="1">
      <alignment horizontal="right"/>
      <protection/>
    </xf>
    <xf numFmtId="0" fontId="39" fillId="35" borderId="0" xfId="65" applyFont="1" applyFill="1">
      <alignment/>
      <protection/>
    </xf>
    <xf numFmtId="2" fontId="39" fillId="35" borderId="0" xfId="65" applyNumberFormat="1" applyFont="1" applyFill="1">
      <alignment/>
      <protection/>
    </xf>
    <xf numFmtId="167" fontId="71" fillId="35" borderId="0" xfId="65" applyNumberFormat="1" applyFont="1" applyFill="1">
      <alignment/>
      <protection/>
    </xf>
    <xf numFmtId="167" fontId="39" fillId="35" borderId="0" xfId="65" applyNumberFormat="1" applyFont="1" applyFill="1">
      <alignment/>
      <protection/>
    </xf>
    <xf numFmtId="8" fontId="39" fillId="35" borderId="0" xfId="65" applyNumberFormat="1" applyFont="1" applyFill="1">
      <alignment/>
      <protection/>
    </xf>
    <xf numFmtId="170" fontId="31" fillId="35" borderId="0" xfId="65" applyNumberFormat="1" applyFont="1" applyFill="1">
      <alignment/>
      <protection/>
    </xf>
    <xf numFmtId="178" fontId="31" fillId="0" borderId="0" xfId="65" applyNumberFormat="1" applyFont="1" applyFill="1" applyBorder="1">
      <alignment/>
      <protection/>
    </xf>
    <xf numFmtId="182" fontId="31" fillId="0" borderId="0" xfId="65" applyNumberFormat="1" applyFont="1" applyFill="1">
      <alignment/>
      <protection/>
    </xf>
    <xf numFmtId="183" fontId="31" fillId="0" borderId="0" xfId="65" applyNumberFormat="1" applyFont="1" applyFill="1">
      <alignment/>
      <protection/>
    </xf>
    <xf numFmtId="173" fontId="39" fillId="38" borderId="43" xfId="0" applyNumberFormat="1" applyFont="1" applyFill="1" applyBorder="1" applyAlignment="1">
      <alignment/>
    </xf>
    <xf numFmtId="191" fontId="31" fillId="0" borderId="0" xfId="65" applyNumberFormat="1" applyFont="1" applyFill="1" applyBorder="1">
      <alignment/>
      <protection/>
    </xf>
    <xf numFmtId="8" fontId="70" fillId="35" borderId="12" xfId="65" applyNumberFormat="1" applyFont="1" applyFill="1" applyBorder="1">
      <alignment/>
      <protection/>
    </xf>
    <xf numFmtId="0" fontId="39" fillId="0" borderId="0" xfId="65" applyNumberFormat="1" applyFont="1" applyFill="1" applyBorder="1" applyAlignment="1">
      <alignment wrapText="1"/>
      <protection/>
    </xf>
    <xf numFmtId="8" fontId="39" fillId="0" borderId="0" xfId="65" applyNumberFormat="1" applyFont="1" applyFill="1">
      <alignment/>
      <protection/>
    </xf>
    <xf numFmtId="0" fontId="56" fillId="0" borderId="0" xfId="65" applyFont="1" applyFill="1">
      <alignment/>
      <protection/>
    </xf>
    <xf numFmtId="8" fontId="56" fillId="0" borderId="0" xfId="65" applyNumberFormat="1" applyFont="1" applyFill="1">
      <alignment/>
      <protection/>
    </xf>
    <xf numFmtId="0" fontId="56" fillId="0" borderId="0" xfId="65" applyFont="1" applyFill="1" applyBorder="1">
      <alignment/>
      <protection/>
    </xf>
    <xf numFmtId="171" fontId="13" fillId="0" borderId="29" xfId="0" applyNumberFormat="1" applyFont="1" applyBorder="1" applyAlignment="1">
      <alignment horizontal="center"/>
    </xf>
    <xf numFmtId="10" fontId="32" fillId="39" borderId="37" xfId="0" applyNumberFormat="1" applyFont="1" applyFill="1" applyBorder="1" applyAlignment="1">
      <alignment/>
    </xf>
    <xf numFmtId="166" fontId="31" fillId="35" borderId="0" xfId="65" applyNumberFormat="1" applyFont="1" applyFill="1">
      <alignment/>
      <protection/>
    </xf>
    <xf numFmtId="165" fontId="31" fillId="35" borderId="0" xfId="65" applyNumberFormat="1" applyFont="1" applyFill="1">
      <alignment/>
      <protection/>
    </xf>
    <xf numFmtId="0" fontId="31" fillId="0" borderId="0" xfId="0" applyFont="1" applyFill="1" applyAlignment="1">
      <alignment horizontal="center"/>
    </xf>
    <xf numFmtId="0" fontId="61" fillId="0" borderId="0" xfId="0" applyFont="1" applyFill="1" applyAlignment="1">
      <alignment/>
    </xf>
    <xf numFmtId="0" fontId="42" fillId="0" borderId="0" xfId="0" applyFont="1" applyFill="1" applyAlignment="1">
      <alignment horizontal="left"/>
    </xf>
    <xf numFmtId="0" fontId="40" fillId="0" borderId="0" xfId="0" applyFont="1" applyFill="1" applyAlignment="1">
      <alignment/>
    </xf>
    <xf numFmtId="0" fontId="0" fillId="0" borderId="0" xfId="0" applyFill="1" applyAlignment="1">
      <alignment/>
    </xf>
    <xf numFmtId="0" fontId="38" fillId="0" borderId="0" xfId="0" applyFont="1" applyFill="1" applyAlignment="1">
      <alignment/>
    </xf>
    <xf numFmtId="0" fontId="20" fillId="0" borderId="0" xfId="54" applyAlignment="1" applyProtection="1">
      <alignment horizontal="left"/>
      <protection locked="0"/>
    </xf>
    <xf numFmtId="0" fontId="38" fillId="0" borderId="36" xfId="0" applyFont="1" applyFill="1" applyBorder="1" applyAlignment="1">
      <alignment/>
    </xf>
    <xf numFmtId="0" fontId="63" fillId="32" borderId="0" xfId="0" applyFont="1" applyFill="1" applyAlignment="1">
      <alignment horizontal="center" wrapText="1"/>
    </xf>
    <xf numFmtId="0" fontId="64" fillId="0" borderId="0" xfId="0" applyFont="1" applyAlignment="1">
      <alignment horizontal="center" wrapText="1"/>
    </xf>
    <xf numFmtId="0" fontId="61" fillId="0" borderId="0" xfId="0" applyFont="1" applyFill="1" applyAlignment="1">
      <alignment horizontal="left" wrapText="1"/>
    </xf>
    <xf numFmtId="0" fontId="61" fillId="0" borderId="0" xfId="0" applyFont="1" applyAlignment="1">
      <alignment horizontal="center" wrapText="1"/>
    </xf>
    <xf numFmtId="0" fontId="62" fillId="32" borderId="0" xfId="0" applyFont="1" applyFill="1" applyAlignment="1">
      <alignment horizontal="center" vertical="top" wrapText="1"/>
    </xf>
    <xf numFmtId="0" fontId="61" fillId="0" borderId="0" xfId="0" applyNumberFormat="1" applyFont="1" applyAlignment="1" applyProtection="1">
      <alignment horizontal="left" wrapText="1"/>
      <protection locked="0"/>
    </xf>
    <xf numFmtId="0" fontId="49" fillId="0" borderId="0" xfId="0" applyFont="1" applyFill="1" applyAlignment="1">
      <alignment horizontal="center" wrapText="1"/>
    </xf>
    <xf numFmtId="0" fontId="38" fillId="0" borderId="0" xfId="0" applyFont="1" applyFill="1" applyAlignment="1">
      <alignment horizontal="left" wrapText="1"/>
    </xf>
    <xf numFmtId="0" fontId="61" fillId="0" borderId="0" xfId="0" applyFont="1" applyFill="1" applyAlignment="1">
      <alignment horizontal="center" wrapText="1"/>
    </xf>
    <xf numFmtId="0" fontId="78" fillId="0" borderId="0" xfId="0" applyFont="1" applyFill="1" applyAlignment="1">
      <alignment horizontal="left" wrapText="1"/>
    </xf>
    <xf numFmtId="0" fontId="61" fillId="0" borderId="0" xfId="0" applyFont="1" applyFill="1" applyAlignment="1">
      <alignment horizontal="left" vertical="justify" wrapText="1"/>
    </xf>
    <xf numFmtId="0" fontId="61" fillId="0" borderId="0" xfId="0" applyFont="1" applyFill="1" applyAlignment="1">
      <alignment wrapText="1"/>
    </xf>
    <xf numFmtId="0" fontId="61" fillId="0" borderId="0" xfId="0" applyFont="1" applyFill="1" applyBorder="1" applyAlignment="1">
      <alignment/>
    </xf>
    <xf numFmtId="0" fontId="61" fillId="0" borderId="0" xfId="0" applyFont="1" applyFill="1" applyAlignment="1">
      <alignment/>
    </xf>
    <xf numFmtId="0" fontId="61" fillId="0" borderId="0" xfId="0" applyFont="1" applyFill="1" applyBorder="1" applyAlignment="1">
      <alignment horizontal="center"/>
    </xf>
    <xf numFmtId="0" fontId="49" fillId="0" borderId="0" xfId="0" applyFont="1" applyFill="1" applyBorder="1" applyAlignment="1">
      <alignment horizontal="center"/>
    </xf>
    <xf numFmtId="0" fontId="40" fillId="0" borderId="0" xfId="0" applyFont="1" applyFill="1" applyBorder="1" applyAlignment="1">
      <alignment horizontal="left" wrapText="1"/>
    </xf>
    <xf numFmtId="0" fontId="61" fillId="0" borderId="0" xfId="0" applyFont="1" applyFill="1" applyBorder="1" applyAlignment="1">
      <alignment horizontal="left"/>
    </xf>
    <xf numFmtId="0" fontId="40" fillId="0" borderId="0" xfId="0" applyFont="1" applyFill="1" applyAlignment="1">
      <alignment/>
    </xf>
    <xf numFmtId="0" fontId="49" fillId="0" borderId="0" xfId="0" applyFont="1" applyAlignment="1" applyProtection="1">
      <alignment horizontal="center" wrapText="1"/>
      <protection locked="0"/>
    </xf>
    <xf numFmtId="0" fontId="31" fillId="0" borderId="0" xfId="0" applyFont="1" applyAlignment="1">
      <alignment horizontal="center" wrapText="1"/>
    </xf>
    <xf numFmtId="0" fontId="1" fillId="0" borderId="0" xfId="0" applyNumberFormat="1" applyFont="1" applyAlignment="1" applyProtection="1">
      <alignment horizontal="left" wrapText="1"/>
      <protection locked="0"/>
    </xf>
    <xf numFmtId="0" fontId="3" fillId="0" borderId="0" xfId="0" applyNumberFormat="1" applyFont="1" applyAlignment="1" applyProtection="1">
      <alignment horizontal="left" wrapText="1"/>
      <protection locked="0"/>
    </xf>
    <xf numFmtId="0" fontId="1" fillId="0" borderId="0" xfId="0" applyNumberFormat="1" applyFont="1" applyAlignment="1" applyProtection="1">
      <alignment horizontal="left" wrapText="1"/>
      <protection locked="0"/>
    </xf>
    <xf numFmtId="0" fontId="1" fillId="0" borderId="0" xfId="0" applyFont="1" applyAlignment="1" applyProtection="1">
      <alignment horizontal="right"/>
      <protection locked="0"/>
    </xf>
    <xf numFmtId="0" fontId="1" fillId="0" borderId="0" xfId="0" applyFont="1" applyAlignment="1" applyProtection="1">
      <alignment horizontal="center" wrapText="1"/>
      <protection locked="0"/>
    </xf>
    <xf numFmtId="0" fontId="1" fillId="0" borderId="0" xfId="0" applyFont="1" applyFill="1" applyAlignment="1">
      <alignment/>
    </xf>
    <xf numFmtId="0" fontId="7" fillId="0" borderId="0" xfId="0" applyFont="1" applyFill="1" applyAlignment="1">
      <alignment/>
    </xf>
    <xf numFmtId="0" fontId="1" fillId="0" borderId="0" xfId="0" applyFont="1" applyAlignment="1">
      <alignment/>
    </xf>
    <xf numFmtId="0" fontId="79" fillId="32" borderId="0" xfId="0" applyFont="1" applyFill="1" applyAlignment="1">
      <alignment horizontal="center" vertical="top" wrapText="1"/>
    </xf>
    <xf numFmtId="0" fontId="1" fillId="0" borderId="0" xfId="0" applyFont="1" applyAlignment="1">
      <alignment horizontal="center" wrapText="1"/>
    </xf>
    <xf numFmtId="0" fontId="1" fillId="0" borderId="0" xfId="0" applyFont="1" applyAlignment="1">
      <alignment/>
    </xf>
    <xf numFmtId="0" fontId="3" fillId="0" borderId="0" xfId="0" applyFont="1" applyFill="1" applyAlignment="1">
      <alignment horizontal="right"/>
    </xf>
    <xf numFmtId="0" fontId="7" fillId="0" borderId="0" xfId="0" applyFont="1" applyFill="1" applyBorder="1" applyAlignment="1">
      <alignment horizontal="left" wrapText="1"/>
    </xf>
    <xf numFmtId="0" fontId="1" fillId="39" borderId="0" xfId="0" applyFont="1" applyFill="1" applyBorder="1" applyAlignment="1">
      <alignment/>
    </xf>
    <xf numFmtId="0" fontId="1" fillId="36" borderId="0" xfId="0" applyFont="1" applyFill="1" applyBorder="1" applyAlignment="1">
      <alignment/>
    </xf>
    <xf numFmtId="0" fontId="1" fillId="18" borderId="0" xfId="0" applyFont="1" applyFill="1" applyBorder="1" applyAlignment="1">
      <alignment/>
    </xf>
    <xf numFmtId="0" fontId="1" fillId="0" borderId="0" xfId="0" applyFont="1" applyFill="1" applyBorder="1" applyAlignment="1">
      <alignment/>
    </xf>
    <xf numFmtId="0" fontId="80" fillId="0" borderId="0" xfId="0" applyFont="1" applyFill="1" applyBorder="1" applyAlignment="1">
      <alignment horizontal="center" wrapText="1"/>
    </xf>
    <xf numFmtId="0" fontId="80" fillId="0" borderId="0" xfId="0" applyFont="1" applyAlignment="1">
      <alignment horizontal="center" wrapText="1"/>
    </xf>
    <xf numFmtId="0" fontId="80" fillId="0" borderId="0" xfId="0" applyFont="1" applyAlignment="1" quotePrefix="1">
      <alignment horizontal="center" wrapText="1"/>
    </xf>
    <xf numFmtId="0" fontId="80" fillId="0" borderId="0" xfId="0" applyFont="1" applyFill="1" applyAlignment="1">
      <alignment horizontal="center" wrapText="1"/>
    </xf>
    <xf numFmtId="0" fontId="80" fillId="0" borderId="0" xfId="0" applyFont="1" applyBorder="1" applyAlignment="1">
      <alignment horizontal="center" wrapText="1"/>
    </xf>
    <xf numFmtId="0" fontId="1" fillId="0" borderId="0" xfId="0" applyFont="1" applyAlignment="1">
      <alignment/>
    </xf>
    <xf numFmtId="0" fontId="1" fillId="0" borderId="0" xfId="0" applyFont="1" applyFill="1" applyAlignment="1">
      <alignment horizontal="center"/>
    </xf>
    <xf numFmtId="0" fontId="7" fillId="0" borderId="0" xfId="0" applyFont="1" applyFill="1" applyAlignment="1">
      <alignment horizontal="left"/>
    </xf>
    <xf numFmtId="0" fontId="1" fillId="0" borderId="0" xfId="0" applyFont="1" applyAlignment="1">
      <alignment wrapText="1"/>
    </xf>
    <xf numFmtId="0" fontId="80" fillId="0" borderId="0" xfId="0" applyFont="1" applyFill="1" applyAlignment="1" applyProtection="1">
      <alignment horizontal="center" vertical="center" wrapText="1"/>
      <protection locked="0"/>
    </xf>
    <xf numFmtId="0" fontId="1" fillId="0" borderId="0" xfId="0" applyFont="1" applyAlignment="1" applyProtection="1">
      <alignment horizontal="center"/>
      <protection locked="0"/>
    </xf>
    <xf numFmtId="0" fontId="78" fillId="0" borderId="0" xfId="0" applyNumberFormat="1" applyFont="1" applyAlignment="1" applyProtection="1">
      <alignment horizontal="left" wrapText="1"/>
      <protection locked="0"/>
    </xf>
    <xf numFmtId="0" fontId="1" fillId="0" borderId="0" xfId="0" applyFont="1" applyAlignment="1" applyProtection="1">
      <alignment horizontal="center"/>
      <protection locked="0"/>
    </xf>
    <xf numFmtId="0" fontId="1" fillId="0" borderId="0" xfId="0" applyFont="1" applyFill="1" applyAlignment="1">
      <alignment horizontal="left" wrapText="1"/>
    </xf>
    <xf numFmtId="0" fontId="80" fillId="0" borderId="0" xfId="0" applyFont="1" applyAlignment="1">
      <alignment horizontal="center"/>
    </xf>
    <xf numFmtId="0" fontId="3" fillId="0" borderId="0" xfId="0" applyNumberFormat="1" applyFont="1" applyAlignment="1" applyProtection="1">
      <alignment horizontal="left" wrapText="1"/>
      <protection locked="0"/>
    </xf>
    <xf numFmtId="0" fontId="1" fillId="0" borderId="0" xfId="0" applyNumberFormat="1" applyFont="1" applyAlignment="1" applyProtection="1">
      <alignment horizontal="left" wrapText="1"/>
      <protection locked="0"/>
    </xf>
    <xf numFmtId="0" fontId="38" fillId="44" borderId="0" xfId="0" applyFont="1" applyFill="1" applyAlignment="1" applyProtection="1">
      <alignment horizontal="left" wrapText="1"/>
      <protection locked="0"/>
    </xf>
    <xf numFmtId="0" fontId="39" fillId="0" borderId="0" xfId="0" applyNumberFormat="1" applyFont="1" applyAlignment="1" applyProtection="1">
      <alignment horizontal="left" wrapText="1"/>
      <protection locked="0"/>
    </xf>
    <xf numFmtId="0" fontId="31" fillId="0" borderId="0" xfId="0" applyNumberFormat="1" applyFont="1" applyAlignment="1" applyProtection="1">
      <alignment horizontal="left" wrapText="1"/>
      <protection locked="0"/>
    </xf>
    <xf numFmtId="196" fontId="1" fillId="0" borderId="0" xfId="0" applyNumberFormat="1" applyFont="1" applyAlignment="1" applyProtection="1">
      <alignment/>
      <protection locked="0"/>
    </xf>
    <xf numFmtId="172" fontId="1" fillId="0" borderId="0" xfId="0" applyNumberFormat="1" applyFont="1" applyAlignment="1" applyProtection="1">
      <alignment/>
      <protection/>
    </xf>
    <xf numFmtId="188" fontId="1" fillId="0" borderId="36" xfId="0" applyNumberFormat="1" applyFont="1" applyFill="1" applyBorder="1" applyAlignment="1">
      <alignment/>
    </xf>
    <xf numFmtId="0" fontId="58" fillId="0" borderId="0" xfId="0" applyFont="1" applyAlignment="1">
      <alignment/>
    </xf>
    <xf numFmtId="167" fontId="28" fillId="0" borderId="0" xfId="64" applyNumberFormat="1">
      <alignment/>
      <protection/>
    </xf>
    <xf numFmtId="2" fontId="28" fillId="0" borderId="0" xfId="64" applyNumberFormat="1">
      <alignment/>
      <protection/>
    </xf>
    <xf numFmtId="0" fontId="28" fillId="0" borderId="0" xfId="64" applyFont="1">
      <alignment/>
      <protection/>
    </xf>
    <xf numFmtId="192" fontId="13" fillId="0" borderId="0" xfId="0" applyNumberFormat="1" applyFont="1" applyAlignment="1">
      <alignment/>
    </xf>
    <xf numFmtId="197" fontId="13" fillId="0" borderId="0" xfId="0" applyNumberFormat="1" applyFont="1" applyAlignment="1">
      <alignment/>
    </xf>
    <xf numFmtId="2" fontId="8" fillId="40" borderId="0" xfId="0" applyNumberFormat="1" applyFont="1" applyFill="1" applyBorder="1" applyAlignment="1">
      <alignment/>
    </xf>
    <xf numFmtId="2" fontId="3" fillId="40" borderId="0" xfId="0" applyNumberFormat="1" applyFont="1" applyFill="1" applyBorder="1" applyAlignment="1">
      <alignment/>
    </xf>
    <xf numFmtId="2" fontId="3" fillId="40" borderId="0" xfId="0" applyNumberFormat="1" applyFont="1" applyFill="1" applyBorder="1" applyAlignment="1">
      <alignment/>
    </xf>
    <xf numFmtId="2" fontId="3" fillId="40" borderId="29" xfId="0" applyNumberFormat="1" applyFont="1" applyFill="1" applyBorder="1" applyAlignment="1">
      <alignment/>
    </xf>
    <xf numFmtId="165" fontId="3" fillId="40" borderId="0" xfId="0" applyNumberFormat="1" applyFont="1" applyFill="1" applyBorder="1" applyAlignment="1">
      <alignment/>
    </xf>
    <xf numFmtId="166" fontId="1" fillId="0" borderId="0" xfId="0" applyNumberFormat="1" applyFont="1" applyFill="1" applyAlignment="1">
      <alignment/>
    </xf>
    <xf numFmtId="173" fontId="28" fillId="0" borderId="0" xfId="64" applyNumberFormat="1">
      <alignment/>
      <protection/>
    </xf>
    <xf numFmtId="0" fontId="81" fillId="0" borderId="0" xfId="64" applyFont="1">
      <alignment/>
      <protection/>
    </xf>
    <xf numFmtId="192" fontId="82" fillId="0" borderId="0" xfId="64" applyNumberFormat="1" applyFont="1">
      <alignment/>
      <protection/>
    </xf>
    <xf numFmtId="171" fontId="28" fillId="33" borderId="0" xfId="0" applyNumberFormat="1" applyFont="1" applyFill="1" applyBorder="1" applyAlignment="1">
      <alignment horizontal="right"/>
    </xf>
    <xf numFmtId="164" fontId="0" fillId="33" borderId="32" xfId="0" applyNumberFormat="1" applyFill="1" applyBorder="1" applyAlignment="1" quotePrefix="1">
      <alignment/>
    </xf>
    <xf numFmtId="164" fontId="0" fillId="33" borderId="32" xfId="0" applyNumberFormat="1" applyFill="1" applyBorder="1" applyAlignment="1">
      <alignment/>
    </xf>
    <xf numFmtId="164" fontId="0" fillId="33" borderId="33" xfId="0" applyNumberFormat="1" applyFill="1" applyBorder="1" applyAlignment="1">
      <alignment/>
    </xf>
    <xf numFmtId="164" fontId="74" fillId="39" borderId="19" xfId="0" applyNumberFormat="1" applyFont="1" applyFill="1" applyBorder="1" applyAlignment="1">
      <alignment horizontal="right"/>
    </xf>
    <xf numFmtId="10" fontId="32" fillId="39" borderId="19" xfId="0" applyNumberFormat="1" applyFont="1" applyFill="1" applyBorder="1" applyAlignment="1">
      <alignment/>
    </xf>
    <xf numFmtId="0" fontId="13" fillId="36" borderId="0" xfId="0" applyFont="1" applyFill="1" applyAlignment="1">
      <alignment horizontal="center"/>
    </xf>
    <xf numFmtId="0" fontId="7" fillId="33" borderId="0" xfId="0" applyFont="1" applyFill="1" applyBorder="1" applyAlignment="1">
      <alignment/>
    </xf>
    <xf numFmtId="0" fontId="7" fillId="33" borderId="10" xfId="0" applyFont="1" applyFill="1" applyBorder="1" applyAlignment="1">
      <alignment/>
    </xf>
    <xf numFmtId="164" fontId="7" fillId="33" borderId="32" xfId="0" applyNumberFormat="1" applyFont="1" applyFill="1" applyBorder="1" applyAlignment="1" quotePrefix="1">
      <alignment/>
    </xf>
    <xf numFmtId="164" fontId="32" fillId="39" borderId="19" xfId="0" applyNumberFormat="1" applyFont="1" applyFill="1" applyBorder="1" applyAlignment="1">
      <alignment horizontal="right"/>
    </xf>
    <xf numFmtId="164" fontId="0" fillId="43" borderId="32" xfId="0" applyNumberFormat="1" applyFill="1" applyBorder="1" applyAlignment="1">
      <alignment/>
    </xf>
    <xf numFmtId="10" fontId="47" fillId="39" borderId="19" xfId="0" applyNumberFormat="1" applyFont="1" applyFill="1" applyBorder="1" applyAlignment="1">
      <alignment horizontal="right"/>
    </xf>
    <xf numFmtId="0" fontId="0" fillId="0" borderId="12" xfId="0" applyBorder="1" applyAlignment="1">
      <alignment/>
    </xf>
    <xf numFmtId="0" fontId="44" fillId="40" borderId="19" xfId="0" applyFont="1" applyFill="1" applyBorder="1" applyAlignment="1">
      <alignment horizontal="center"/>
    </xf>
    <xf numFmtId="2" fontId="16" fillId="36" borderId="53" xfId="0" applyNumberFormat="1" applyFont="1" applyFill="1" applyBorder="1" applyAlignment="1">
      <alignment horizontal="center"/>
    </xf>
    <xf numFmtId="2" fontId="16" fillId="36" borderId="54" xfId="0" applyNumberFormat="1" applyFont="1" applyFill="1" applyBorder="1" applyAlignment="1">
      <alignment horizontal="center"/>
    </xf>
    <xf numFmtId="2" fontId="13" fillId="36" borderId="14" xfId="0" applyNumberFormat="1" applyFont="1" applyFill="1" applyBorder="1" applyAlignment="1">
      <alignment horizontal="center"/>
    </xf>
    <xf numFmtId="165" fontId="28" fillId="0" borderId="0" xfId="64" applyNumberFormat="1">
      <alignment/>
      <protection/>
    </xf>
    <xf numFmtId="0" fontId="83" fillId="0" borderId="0" xfId="64" applyFont="1" applyAlignment="1">
      <alignment horizontal="center"/>
      <protection/>
    </xf>
    <xf numFmtId="175" fontId="28" fillId="0" borderId="0" xfId="64" applyNumberFormat="1">
      <alignment/>
      <protection/>
    </xf>
    <xf numFmtId="0" fontId="0" fillId="0" borderId="0" xfId="0" applyAlignment="1">
      <alignment wrapText="1"/>
    </xf>
    <xf numFmtId="0" fontId="13" fillId="0" borderId="26" xfId="64" applyFont="1" applyFill="1" applyBorder="1" applyAlignment="1">
      <alignment horizontal="right" wrapText="1"/>
      <protection/>
    </xf>
    <xf numFmtId="167" fontId="0" fillId="0" borderId="0" xfId="0" applyNumberFormat="1" applyAlignment="1">
      <alignment/>
    </xf>
    <xf numFmtId="10" fontId="0" fillId="0" borderId="0" xfId="68" applyNumberFormat="1" applyFont="1" applyAlignment="1">
      <alignment/>
    </xf>
    <xf numFmtId="172" fontId="0" fillId="0" borderId="0" xfId="0" applyNumberFormat="1" applyAlignment="1">
      <alignment/>
    </xf>
    <xf numFmtId="0" fontId="0" fillId="0" borderId="0" xfId="62">
      <alignment/>
      <protection/>
    </xf>
    <xf numFmtId="0" fontId="61" fillId="0" borderId="0" xfId="0" applyFont="1" applyAlignment="1">
      <alignment horizontal="left" wrapText="1"/>
    </xf>
    <xf numFmtId="0" fontId="39" fillId="0" borderId="38" xfId="0" applyFont="1" applyBorder="1" applyAlignment="1" applyProtection="1">
      <alignment horizontal="left"/>
      <protection locked="0"/>
    </xf>
    <xf numFmtId="0" fontId="39" fillId="0" borderId="36" xfId="0" applyFont="1" applyBorder="1" applyAlignment="1" applyProtection="1">
      <alignment horizontal="left"/>
      <protection locked="0"/>
    </xf>
    <xf numFmtId="0" fontId="39" fillId="0" borderId="11" xfId="0" applyFont="1" applyBorder="1" applyAlignment="1" applyProtection="1">
      <alignment horizontal="left"/>
      <protection locked="0"/>
    </xf>
    <xf numFmtId="0" fontId="39" fillId="0" borderId="29" xfId="0" applyFont="1" applyBorder="1" applyAlignment="1" applyProtection="1">
      <alignment horizontal="left"/>
      <protection locked="0"/>
    </xf>
    <xf numFmtId="0" fontId="39" fillId="0" borderId="16" xfId="0" applyFont="1" applyBorder="1" applyAlignment="1" applyProtection="1">
      <alignment horizontal="left"/>
      <protection locked="0"/>
    </xf>
    <xf numFmtId="0" fontId="39" fillId="0" borderId="34" xfId="0" applyFont="1" applyBorder="1" applyAlignment="1" applyProtection="1">
      <alignment horizontal="left"/>
      <protection locked="0"/>
    </xf>
    <xf numFmtId="0" fontId="39" fillId="0" borderId="0" xfId="0" applyFont="1" applyBorder="1" applyAlignment="1" applyProtection="1">
      <alignment horizontal="center"/>
      <protection locked="0"/>
    </xf>
    <xf numFmtId="0" fontId="39" fillId="0" borderId="55" xfId="0" applyFont="1" applyBorder="1" applyAlignment="1" applyProtection="1">
      <alignment horizontal="left"/>
      <protection locked="0"/>
    </xf>
    <xf numFmtId="0" fontId="39" fillId="0" borderId="56" xfId="0" applyFont="1" applyBorder="1" applyAlignment="1">
      <alignment horizontal="left"/>
    </xf>
    <xf numFmtId="0" fontId="44" fillId="0" borderId="18" xfId="0" applyFont="1" applyBorder="1" applyAlignment="1" applyProtection="1">
      <alignment horizontal="left"/>
      <protection locked="0"/>
    </xf>
    <xf numFmtId="0" fontId="44" fillId="0" borderId="25" xfId="0" applyFont="1" applyBorder="1" applyAlignment="1" applyProtection="1">
      <alignment horizontal="left"/>
      <protection locked="0"/>
    </xf>
    <xf numFmtId="0" fontId="44" fillId="0" borderId="17" xfId="0" applyFont="1" applyBorder="1" applyAlignment="1" applyProtection="1">
      <alignment horizontal="left"/>
      <protection locked="0"/>
    </xf>
    <xf numFmtId="0" fontId="44" fillId="0" borderId="40" xfId="0" applyFont="1" applyFill="1" applyBorder="1" applyAlignment="1" applyProtection="1">
      <alignment horizontal="left" vertical="center" wrapText="1"/>
      <protection locked="0"/>
    </xf>
    <xf numFmtId="0" fontId="44" fillId="0" borderId="19" xfId="0" applyFont="1" applyFill="1" applyBorder="1" applyAlignment="1" applyProtection="1">
      <alignment horizontal="left" vertical="center" wrapText="1"/>
      <protection locked="0"/>
    </xf>
    <xf numFmtId="0" fontId="44" fillId="0" borderId="57" xfId="0" applyFont="1" applyFill="1" applyBorder="1" applyAlignment="1" applyProtection="1">
      <alignment horizontal="right" vertical="center"/>
      <protection locked="0"/>
    </xf>
    <xf numFmtId="0" fontId="44" fillId="0" borderId="58" xfId="0" applyFont="1" applyFill="1" applyBorder="1" applyAlignment="1" applyProtection="1">
      <alignment horizontal="right" vertical="center"/>
      <protection locked="0"/>
    </xf>
    <xf numFmtId="0" fontId="44" fillId="0" borderId="59" xfId="0" applyFont="1" applyFill="1" applyBorder="1" applyAlignment="1" applyProtection="1">
      <alignment horizontal="right" vertical="center"/>
      <protection locked="0"/>
    </xf>
    <xf numFmtId="0" fontId="39" fillId="0" borderId="0" xfId="0" applyFont="1" applyBorder="1" applyAlignment="1" applyProtection="1">
      <alignment horizontal="right"/>
      <protection locked="0"/>
    </xf>
    <xf numFmtId="0" fontId="0" fillId="0" borderId="0" xfId="0" applyAlignment="1">
      <alignment horizontal="center" wrapText="1"/>
    </xf>
    <xf numFmtId="0" fontId="13" fillId="0" borderId="18" xfId="64" applyFont="1" applyBorder="1" applyAlignment="1">
      <alignment horizontal="center"/>
      <protection/>
    </xf>
    <xf numFmtId="0" fontId="0" fillId="0" borderId="25" xfId="0" applyBorder="1" applyAlignment="1">
      <alignment horizontal="center"/>
    </xf>
    <xf numFmtId="0" fontId="0" fillId="0" borderId="17" xfId="0" applyBorder="1" applyAlignment="1">
      <alignment horizontal="center"/>
    </xf>
    <xf numFmtId="0" fontId="3" fillId="0" borderId="25" xfId="64" applyFont="1" applyBorder="1" applyAlignment="1">
      <alignment horizontal="center"/>
      <protection/>
    </xf>
    <xf numFmtId="0" fontId="3" fillId="0" borderId="17" xfId="64" applyFont="1" applyBorder="1" applyAlignment="1">
      <alignment horizontal="center"/>
      <protection/>
    </xf>
    <xf numFmtId="0" fontId="1" fillId="0" borderId="19" xfId="64" applyFont="1" applyBorder="1" applyAlignment="1">
      <alignment horizontal="center"/>
      <protection/>
    </xf>
    <xf numFmtId="0" fontId="1" fillId="0" borderId="17" xfId="64" applyFont="1" applyBorder="1" applyAlignment="1">
      <alignment horizontal="center"/>
      <protection/>
    </xf>
    <xf numFmtId="0" fontId="1" fillId="0" borderId="18" xfId="64" applyFont="1" applyBorder="1" applyAlignment="1">
      <alignment horizontal="center"/>
      <protection/>
    </xf>
    <xf numFmtId="0" fontId="13" fillId="0" borderId="30" xfId="64" applyFont="1" applyBorder="1" applyAlignment="1">
      <alignment horizontal="center" vertical="center" wrapText="1"/>
      <protection/>
    </xf>
    <xf numFmtId="0" fontId="0" fillId="0" borderId="24" xfId="0" applyBorder="1" applyAlignment="1">
      <alignment/>
    </xf>
    <xf numFmtId="0" fontId="0" fillId="0" borderId="27" xfId="0" applyBorder="1" applyAlignment="1">
      <alignment/>
    </xf>
    <xf numFmtId="0" fontId="0" fillId="0" borderId="25" xfId="0" applyBorder="1" applyAlignment="1">
      <alignment/>
    </xf>
    <xf numFmtId="0" fontId="0" fillId="0" borderId="17" xfId="0" applyBorder="1" applyAlignment="1">
      <alignment/>
    </xf>
    <xf numFmtId="0" fontId="13" fillId="0" borderId="18" xfId="64" applyFont="1" applyBorder="1" applyAlignment="1">
      <alignment horizontal="left" vertical="center" wrapText="1"/>
      <protection/>
    </xf>
    <xf numFmtId="0" fontId="13" fillId="0" borderId="21" xfId="64" applyFont="1" applyBorder="1" applyAlignment="1">
      <alignment horizontal="right"/>
      <protection/>
    </xf>
    <xf numFmtId="0" fontId="13" fillId="0" borderId="23" xfId="64" applyFont="1" applyBorder="1" applyAlignment="1">
      <alignment horizontal="right"/>
      <protection/>
    </xf>
    <xf numFmtId="0" fontId="13" fillId="0" borderId="25" xfId="64" applyFont="1" applyBorder="1" applyAlignment="1">
      <alignment horizontal="center"/>
      <protection/>
    </xf>
    <xf numFmtId="0" fontId="3" fillId="0" borderId="19" xfId="64" applyFont="1" applyBorder="1" applyAlignment="1">
      <alignment horizontal="center" vertical="center"/>
      <protection/>
    </xf>
    <xf numFmtId="0" fontId="13" fillId="0" borderId="15" xfId="64" applyFont="1" applyBorder="1" applyAlignment="1">
      <alignment horizontal="right" vertical="center" wrapText="1"/>
      <protection/>
    </xf>
    <xf numFmtId="0" fontId="13" fillId="0" borderId="22" xfId="64" applyFont="1" applyBorder="1" applyAlignment="1">
      <alignment horizontal="right" vertical="center" wrapText="1"/>
      <protection/>
    </xf>
    <xf numFmtId="0" fontId="13" fillId="0" borderId="26" xfId="64" applyFont="1" applyBorder="1" applyAlignment="1">
      <alignment horizontal="right" vertical="center" wrapText="1"/>
      <protection/>
    </xf>
    <xf numFmtId="0" fontId="13" fillId="0" borderId="0" xfId="64" applyFont="1" applyBorder="1" applyAlignment="1">
      <alignment horizontal="right" vertical="center" wrapText="1"/>
      <protection/>
    </xf>
    <xf numFmtId="0" fontId="13" fillId="0" borderId="26" xfId="64" applyFont="1" applyBorder="1" applyAlignment="1">
      <alignment horizontal="right"/>
      <protection/>
    </xf>
    <xf numFmtId="0" fontId="13" fillId="0" borderId="0" xfId="64" applyFont="1" applyBorder="1" applyAlignment="1">
      <alignment horizontal="right"/>
      <protection/>
    </xf>
    <xf numFmtId="0" fontId="13" fillId="0" borderId="27" xfId="64" applyFont="1" applyBorder="1" applyAlignment="1">
      <alignment horizontal="center" vertical="center" wrapText="1"/>
      <protection/>
    </xf>
    <xf numFmtId="0" fontId="13" fillId="0" borderId="24" xfId="64" applyFont="1" applyBorder="1" applyAlignment="1">
      <alignment horizontal="center" vertical="center" wrapText="1"/>
      <protection/>
    </xf>
    <xf numFmtId="0" fontId="13" fillId="0" borderId="25" xfId="64" applyFont="1" applyBorder="1" applyAlignment="1">
      <alignment horizontal="left" vertical="center" wrapText="1"/>
      <protection/>
    </xf>
    <xf numFmtId="0" fontId="13" fillId="0" borderId="21" xfId="64" applyFont="1" applyBorder="1" applyAlignment="1">
      <alignment horizontal="left" vertical="center" wrapText="1"/>
      <protection/>
    </xf>
    <xf numFmtId="0" fontId="13" fillId="0" borderId="23" xfId="64" applyFont="1" applyBorder="1" applyAlignment="1">
      <alignment horizontal="left" vertical="center" wrapText="1"/>
      <protection/>
    </xf>
    <xf numFmtId="0" fontId="22" fillId="0" borderId="18" xfId="64" applyFont="1" applyBorder="1" applyAlignment="1">
      <alignment horizontal="center"/>
      <protection/>
    </xf>
    <xf numFmtId="0" fontId="22" fillId="0" borderId="17" xfId="64" applyFont="1" applyBorder="1" applyAlignment="1">
      <alignment horizontal="center"/>
      <protection/>
    </xf>
    <xf numFmtId="0" fontId="3" fillId="0" borderId="19" xfId="64" applyFont="1" applyBorder="1" applyAlignment="1">
      <alignment horizontal="center" vertical="center" wrapText="1"/>
      <protection/>
    </xf>
    <xf numFmtId="0" fontId="14" fillId="37" borderId="16" xfId="0" applyFont="1" applyFill="1" applyBorder="1" applyAlignment="1">
      <alignment horizontal="left"/>
    </xf>
    <xf numFmtId="0" fontId="14" fillId="37" borderId="34" xfId="0" applyFont="1" applyFill="1" applyBorder="1" applyAlignment="1">
      <alignment horizontal="left"/>
    </xf>
    <xf numFmtId="0" fontId="14" fillId="37" borderId="31" xfId="0" applyFont="1" applyFill="1" applyBorder="1" applyAlignment="1">
      <alignment horizontal="left"/>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2 2" xfId="60"/>
    <cellStyle name="Normal 2 3" xfId="61"/>
    <cellStyle name="Normal 3" xfId="62"/>
    <cellStyle name="Normal_100805 Soft Factors Model" xfId="63"/>
    <cellStyle name="Normal_Difference between AL new and old method" xfId="64"/>
    <cellStyle name="Normal_MCC worked example (3)" xfId="65"/>
    <cellStyle name="Note" xfId="66"/>
    <cellStyle name="Output" xfId="67"/>
    <cellStyle name="Percent" xfId="68"/>
    <cellStyle name="Percent 2" xfId="69"/>
    <cellStyle name="Percent 2 2" xfId="70"/>
    <cellStyle name="Percent 2 2 2" xfId="71"/>
    <cellStyle name="Percent 3" xfId="72"/>
    <cellStyle name="Percent 4" xfId="73"/>
    <cellStyle name="Title" xfId="74"/>
    <cellStyle name="Total" xfId="75"/>
    <cellStyle name="Warning Text" xfId="76"/>
  </cellStyles>
  <dxfs count="2">
    <dxf>
      <font>
        <color indexed="9"/>
      </font>
      <fill>
        <patternFill>
          <bgColor indexed="12"/>
        </patternFill>
      </fill>
    </dxf>
    <dxf>
      <font>
        <color rgb="FFFFFFFF"/>
      </font>
      <fill>
        <patternFill>
          <bgColor rgb="FF0000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05"/>
          <c:w val="0.599"/>
          <c:h val="0.9245"/>
        </c:manualLayout>
      </c:layout>
      <c:scatterChart>
        <c:scatterStyle val="smoothMarker"/>
        <c:varyColors val="0"/>
        <c:ser>
          <c:idx val="0"/>
          <c:order val="0"/>
          <c:tx>
            <c:v>lambda=1 ; E@1=-0.59</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PTE!$A$13:$A$35</c:f>
              <c:numCache/>
            </c:numRef>
          </c:yVal>
          <c:smooth val="1"/>
        </c:ser>
        <c:ser>
          <c:idx val="4"/>
          <c:order val="1"/>
          <c:tx>
            <c:v>Piecewise curve before abstraction</c:v>
          </c:tx>
          <c:spPr>
            <a:ln w="25400">
              <a:solidFill>
                <a:srgbClr val="C0C0C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PTE!$E$13:$E$35</c:f>
              <c:numCache/>
            </c:numRef>
          </c:xVal>
          <c:yVal>
            <c:numRef>
              <c:f>PTE!$A$13:$A$35</c:f>
              <c:numCache/>
            </c:numRef>
          </c:yVal>
          <c:smooth val="1"/>
        </c:ser>
        <c:ser>
          <c:idx val="1"/>
          <c:order val="2"/>
          <c:tx>
            <c:v>lambda=0.8 ; E@1=-0.38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PTE!$A$13:$A$35</c:f>
              <c:numCache/>
            </c:numRef>
          </c:yVal>
          <c:smooth val="1"/>
        </c:ser>
        <c:ser>
          <c:idx val="3"/>
          <c:order val="3"/>
          <c:tx>
            <c:v>lambda=0.7 ; E@1=-0.30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PTE!$A$13:$A$35</c:f>
              <c:numCache/>
            </c:numRef>
          </c:yVal>
          <c:smooth val="1"/>
        </c:ser>
        <c:ser>
          <c:idx val="2"/>
          <c:order val="4"/>
          <c:tx>
            <c:v>Target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808000"/>
                </a:solidFill>
              </a:ln>
            </c:spPr>
          </c:marker>
          <c:dPt>
            <c:idx val="12"/>
            <c:spPr>
              <a:ln w="3175">
                <a:noFill/>
              </a:ln>
            </c:spPr>
            <c:marker>
              <c:size val="6"/>
              <c:spPr>
                <a:solidFill>
                  <a:srgbClr val="000000"/>
                </a:solidFill>
                <a:ln>
                  <a:solidFill>
                    <a:srgbClr val="808000"/>
                  </a:solidFill>
                </a:ln>
              </c:spPr>
            </c:marker>
          </c:dPt>
          <c:xVal>
            <c:numRef>
              <c:f>PTE!$H$13:$H$35</c:f>
              <c:numCache/>
            </c:numRef>
          </c:xVal>
          <c:yVal>
            <c:numRef>
              <c:f>PTE!$A$13:$A$35</c:f>
              <c:numCache/>
            </c:numRef>
          </c:yVal>
          <c:smooth val="1"/>
        </c:ser>
        <c:ser>
          <c:idx val="6"/>
          <c:order val="5"/>
          <c:tx>
            <c:v>Piecewise curve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PTE!$I$13:$I$35</c:f>
              <c:numCache/>
            </c:numRef>
          </c:xVal>
          <c:yVal>
            <c:numRef>
              <c:f>PTE!$A$13:$A$35</c:f>
              <c:numCache/>
            </c:numRef>
          </c:yVal>
          <c:smooth val="1"/>
        </c:ser>
        <c:ser>
          <c:idx val="7"/>
          <c:order val="6"/>
          <c:tx>
            <c:v>Approx single curve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PTE!$J$13:$J$35</c:f>
              <c:numCache/>
            </c:numRef>
          </c:xVal>
          <c:yVal>
            <c:numRef>
              <c:f>PTE!$A$13:$A$35</c:f>
              <c:numCache/>
            </c:numRef>
          </c:yVal>
          <c:smooth val="1"/>
        </c:ser>
        <c:axId val="36358620"/>
        <c:axId val="58792125"/>
      </c:scatterChart>
      <c:valAx>
        <c:axId val="36358620"/>
        <c:scaling>
          <c:orientation val="minMax"/>
          <c:max val="120"/>
          <c:min val="0"/>
        </c:scaling>
        <c:axPos val="b"/>
        <c:title>
          <c:tx>
            <c:rich>
              <a:bodyPr vert="horz" rot="0" anchor="ctr"/>
              <a:lstStyle/>
              <a:p>
                <a:pPr algn="ctr">
                  <a:defRPr/>
                </a:pPr>
                <a:r>
                  <a:rPr lang="en-US" cap="none" sz="1000" b="1" i="0" u="none" baseline="0">
                    <a:solidFill>
                      <a:srgbClr val="000000"/>
                    </a:solidFill>
                    <a:latin typeface="Calibri"/>
                    <a:ea typeface="Calibri"/>
                    <a:cs typeface="Calibri"/>
                  </a:rPr>
                  <a:t>Volume of trips, index</a:t>
                </a:r>
              </a:p>
            </c:rich>
          </c:tx>
          <c:layout>
            <c:manualLayout>
              <c:xMode val="factor"/>
              <c:yMode val="factor"/>
              <c:x val="-0.004"/>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792125"/>
        <c:crosses val="autoZero"/>
        <c:crossBetween val="midCat"/>
        <c:dispUnits/>
      </c:valAx>
      <c:valAx>
        <c:axId val="58792125"/>
        <c:scaling>
          <c:orientation val="minMax"/>
          <c:max val="1.2"/>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Fare, index</a:t>
                </a:r>
              </a:p>
            </c:rich>
          </c:tx>
          <c:layout>
            <c:manualLayout>
              <c:xMode val="factor"/>
              <c:yMode val="factor"/>
              <c:x val="-0.006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358620"/>
        <c:crosses val="autoZero"/>
        <c:crossBetween val="midCat"/>
        <c:dispUnits/>
        <c:majorUnit val="0.1"/>
      </c:valAx>
      <c:spPr>
        <a:solidFill>
          <a:srgbClr val="FFFFFF"/>
        </a:solidFill>
        <a:ln w="3175">
          <a:noFill/>
        </a:ln>
      </c:spPr>
    </c:plotArea>
    <c:legend>
      <c:legendPos val="r"/>
      <c:legendEntry>
        <c:idx val="0"/>
        <c:delete val="1"/>
      </c:legendEntry>
      <c:legendEntry>
        <c:idx val="2"/>
        <c:delete val="1"/>
      </c:legendEntry>
      <c:legendEntry>
        <c:idx val="3"/>
        <c:delete val="1"/>
      </c:legendEntry>
      <c:layout>
        <c:manualLayout>
          <c:xMode val="edge"/>
          <c:yMode val="edge"/>
          <c:x val="0.66525"/>
          <c:y val="0.40125"/>
          <c:w val="0.32525"/>
          <c:h val="0.201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05"/>
          <c:w val="0.599"/>
          <c:h val="0.9245"/>
        </c:manualLayout>
      </c:layout>
      <c:scatterChart>
        <c:scatterStyle val="smoothMarker"/>
        <c:varyColors val="0"/>
        <c:ser>
          <c:idx val="0"/>
          <c:order val="0"/>
          <c:tx>
            <c:v>lambda=1 ; E@1=-0.59</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'Non-PTE'!$A$13:$A$35</c:f>
              <c:numCache/>
            </c:numRef>
          </c:yVal>
          <c:smooth val="1"/>
        </c:ser>
        <c:ser>
          <c:idx val="4"/>
          <c:order val="1"/>
          <c:tx>
            <c:v>Piecewise curve before abstraction</c:v>
          </c:tx>
          <c:spPr>
            <a:ln w="25400">
              <a:solidFill>
                <a:srgbClr val="C0C0C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'Non-PTE'!$E$13:$E$35</c:f>
              <c:numCache/>
            </c:numRef>
          </c:xVal>
          <c:yVal>
            <c:numRef>
              <c:f>'Non-PTE'!$A$13:$A$35</c:f>
              <c:numCache/>
            </c:numRef>
          </c:yVal>
          <c:smooth val="1"/>
        </c:ser>
        <c:ser>
          <c:idx val="1"/>
          <c:order val="2"/>
          <c:tx>
            <c:v>lambda=0.8 ; E@1=-0.38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'Non-PTE'!$A$13:$A$35</c:f>
              <c:numCache/>
            </c:numRef>
          </c:yVal>
          <c:smooth val="1"/>
        </c:ser>
        <c:ser>
          <c:idx val="3"/>
          <c:order val="3"/>
          <c:tx>
            <c:v>lambda=0.7 ; E@1=-0.30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'Non-PTE'!$A$13:$A$35</c:f>
              <c:numCache/>
            </c:numRef>
          </c:yVal>
          <c:smooth val="1"/>
        </c:ser>
        <c:ser>
          <c:idx val="2"/>
          <c:order val="4"/>
          <c:tx>
            <c:v>Target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808000"/>
                </a:solidFill>
              </a:ln>
            </c:spPr>
          </c:marker>
          <c:dPt>
            <c:idx val="12"/>
            <c:spPr>
              <a:ln w="3175">
                <a:noFill/>
              </a:ln>
            </c:spPr>
            <c:marker>
              <c:size val="6"/>
              <c:spPr>
                <a:solidFill>
                  <a:srgbClr val="000000"/>
                </a:solidFill>
                <a:ln>
                  <a:solidFill>
                    <a:srgbClr val="808000"/>
                  </a:solidFill>
                </a:ln>
              </c:spPr>
            </c:marker>
          </c:dPt>
          <c:xVal>
            <c:numRef>
              <c:f>'Non-PTE'!$H$13:$H$35</c:f>
              <c:numCache/>
            </c:numRef>
          </c:xVal>
          <c:yVal>
            <c:numRef>
              <c:f>'Non-PTE'!$A$13:$A$35</c:f>
              <c:numCache/>
            </c:numRef>
          </c:yVal>
          <c:smooth val="1"/>
        </c:ser>
        <c:ser>
          <c:idx val="6"/>
          <c:order val="5"/>
          <c:tx>
            <c:v>Piecewise curve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'Non-PTE'!$I$13:$I$35</c:f>
              <c:numCache/>
            </c:numRef>
          </c:xVal>
          <c:yVal>
            <c:numRef>
              <c:f>'Non-PTE'!$A$13:$A$35</c:f>
              <c:numCache/>
            </c:numRef>
          </c:yVal>
          <c:smooth val="1"/>
        </c:ser>
        <c:ser>
          <c:idx val="7"/>
          <c:order val="6"/>
          <c:tx>
            <c:v>Approx single curve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'Non-PTE'!$J$13:$J$35</c:f>
              <c:numCache/>
            </c:numRef>
          </c:xVal>
          <c:yVal>
            <c:numRef>
              <c:f>'Non-PTE'!$A$13:$A$35</c:f>
              <c:numCache/>
            </c:numRef>
          </c:yVal>
          <c:smooth val="1"/>
        </c:ser>
        <c:axId val="59367078"/>
        <c:axId val="64541655"/>
      </c:scatterChart>
      <c:valAx>
        <c:axId val="59367078"/>
        <c:scaling>
          <c:orientation val="minMax"/>
          <c:max val="120"/>
          <c:min val="0"/>
        </c:scaling>
        <c:axPos val="b"/>
        <c:title>
          <c:tx>
            <c:rich>
              <a:bodyPr vert="horz" rot="0" anchor="ctr"/>
              <a:lstStyle/>
              <a:p>
                <a:pPr algn="ctr">
                  <a:defRPr/>
                </a:pPr>
                <a:r>
                  <a:rPr lang="en-US" cap="none" sz="1000" b="1" i="0" u="none" baseline="0">
                    <a:solidFill>
                      <a:srgbClr val="000000"/>
                    </a:solidFill>
                    <a:latin typeface="Calibri"/>
                    <a:ea typeface="Calibri"/>
                    <a:cs typeface="Calibri"/>
                  </a:rPr>
                  <a:t>Volume of trips, index</a:t>
                </a:r>
              </a:p>
            </c:rich>
          </c:tx>
          <c:layout>
            <c:manualLayout>
              <c:xMode val="factor"/>
              <c:yMode val="factor"/>
              <c:x val="-0.004"/>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541655"/>
        <c:crosses val="autoZero"/>
        <c:crossBetween val="midCat"/>
        <c:dispUnits/>
      </c:valAx>
      <c:valAx>
        <c:axId val="64541655"/>
        <c:scaling>
          <c:orientation val="minMax"/>
          <c:max val="1.2"/>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Fare, index</a:t>
                </a:r>
              </a:p>
            </c:rich>
          </c:tx>
          <c:layout>
            <c:manualLayout>
              <c:xMode val="factor"/>
              <c:yMode val="factor"/>
              <c:x val="-0.006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367078"/>
        <c:crosses val="autoZero"/>
        <c:crossBetween val="midCat"/>
        <c:dispUnits/>
        <c:majorUnit val="0.1"/>
      </c:valAx>
      <c:spPr>
        <a:solidFill>
          <a:srgbClr val="FFFFFF"/>
        </a:solidFill>
        <a:ln w="3175">
          <a:noFill/>
        </a:ln>
      </c:spPr>
    </c:plotArea>
    <c:legend>
      <c:legendPos val="r"/>
      <c:legendEntry>
        <c:idx val="0"/>
        <c:delete val="1"/>
      </c:legendEntry>
      <c:legendEntry>
        <c:idx val="2"/>
        <c:delete val="1"/>
      </c:legendEntry>
      <c:legendEntry>
        <c:idx val="3"/>
        <c:delete val="1"/>
      </c:legendEntry>
      <c:layout>
        <c:manualLayout>
          <c:xMode val="edge"/>
          <c:yMode val="edge"/>
          <c:x val="0.66525"/>
          <c:y val="0.40125"/>
          <c:w val="0.32525"/>
          <c:h val="0.201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8.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2486025</xdr:colOff>
      <xdr:row>0</xdr:row>
      <xdr:rowOff>0</xdr:rowOff>
    </xdr:from>
    <xdr:to>
      <xdr:col>1</xdr:col>
      <xdr:colOff>4552950</xdr:colOff>
      <xdr:row>4</xdr:row>
      <xdr:rowOff>133350</xdr:rowOff>
    </xdr:to>
    <xdr:pic>
      <xdr:nvPicPr>
        <xdr:cNvPr id="1" name="Picture 1"/>
        <xdr:cNvPicPr preferRelativeResize="1">
          <a:picLocks noChangeAspect="1"/>
        </xdr:cNvPicPr>
      </xdr:nvPicPr>
      <xdr:blipFill>
        <a:blip r:embed="rId1"/>
        <a:stretch>
          <a:fillRect/>
        </a:stretch>
      </xdr:blipFill>
      <xdr:spPr>
        <a:xfrm>
          <a:off x="2943225" y="0"/>
          <a:ext cx="2066925" cy="9715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0.56825</cdr:x>
      <cdr:y>0.095</cdr:y>
    </cdr:from>
    <cdr:to>
      <cdr:x>0.7975</cdr:x>
      <cdr:y>0.1575</cdr:y>
    </cdr:to>
    <cdr:sp>
      <cdr:nvSpPr>
        <cdr:cNvPr id="1" name="Rectangle 1"/>
        <cdr:cNvSpPr>
          <a:spLocks/>
        </cdr:cNvSpPr>
      </cdr:nvSpPr>
      <cdr:spPr>
        <a:xfrm>
          <a:off x="4038600" y="428625"/>
          <a:ext cx="1628775" cy="285750"/>
        </a:xfrm>
        <a:prstGeom prst="rect">
          <a:avLst/>
        </a:prstGeom>
        <a:solidFill>
          <a:srgbClr val="FFFFFF"/>
        </a:solidFill>
        <a:ln w="25400"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495300</xdr:colOff>
      <xdr:row>8</xdr:row>
      <xdr:rowOff>76200</xdr:rowOff>
    </xdr:from>
    <xdr:to>
      <xdr:col>22</xdr:col>
      <xdr:colOff>295275</xdr:colOff>
      <xdr:row>32</xdr:row>
      <xdr:rowOff>76200</xdr:rowOff>
    </xdr:to>
    <xdr:graphicFrame>
      <xdr:nvGraphicFramePr>
        <xdr:cNvPr id="1" name="Chart 1"/>
        <xdr:cNvGraphicFramePr/>
      </xdr:nvGraphicFramePr>
      <xdr:xfrm>
        <a:off x="9010650" y="1600200"/>
        <a:ext cx="7115175" cy="4572000"/>
      </xdr:xfrm>
      <a:graphic>
        <a:graphicData uri="http://schemas.openxmlformats.org/drawingml/2006/chart">
          <c:chart xmlns:c="http://schemas.openxmlformats.org/drawingml/2006/chart" r:id="rId1"/>
        </a:graphicData>
      </a:graphic>
    </xdr:graphicFrame>
    <xdr:clientData/>
  </xdr:twoCellAnchor>
  <xdr:twoCellAnchor>
    <xdr:from>
      <xdr:col>11</xdr:col>
      <xdr:colOff>552450</xdr:colOff>
      <xdr:row>11</xdr:row>
      <xdr:rowOff>85725</xdr:rowOff>
    </xdr:from>
    <xdr:to>
      <xdr:col>17</xdr:col>
      <xdr:colOff>114300</xdr:colOff>
      <xdr:row>11</xdr:row>
      <xdr:rowOff>95250</xdr:rowOff>
    </xdr:to>
    <xdr:sp>
      <xdr:nvSpPr>
        <xdr:cNvPr id="2" name="Straight Connector 2"/>
        <xdr:cNvSpPr>
          <a:spLocks/>
        </xdr:cNvSpPr>
      </xdr:nvSpPr>
      <xdr:spPr>
        <a:xfrm>
          <a:off x="9677400" y="2181225"/>
          <a:ext cx="3219450" cy="9525"/>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171450</xdr:colOff>
      <xdr:row>10</xdr:row>
      <xdr:rowOff>142875</xdr:rowOff>
    </xdr:from>
    <xdr:to>
      <xdr:col>20</xdr:col>
      <xdr:colOff>152400</xdr:colOff>
      <xdr:row>12</xdr:row>
      <xdr:rowOff>76200</xdr:rowOff>
    </xdr:to>
    <xdr:sp>
      <xdr:nvSpPr>
        <xdr:cNvPr id="3" name="TextBox 3"/>
        <xdr:cNvSpPr txBox="1">
          <a:spLocks noChangeArrowheads="1"/>
        </xdr:cNvSpPr>
      </xdr:nvSpPr>
      <xdr:spPr>
        <a:xfrm>
          <a:off x="12954000" y="2047875"/>
          <a:ext cx="180975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notional full fare at 2008/9</a:t>
          </a:r>
        </a:p>
      </xdr:txBody>
    </xdr:sp>
    <xdr:clientData/>
  </xdr:twoCellAnchor>
  <xdr:twoCellAnchor>
    <xdr:from>
      <xdr:col>10</xdr:col>
      <xdr:colOff>571500</xdr:colOff>
      <xdr:row>6</xdr:row>
      <xdr:rowOff>85725</xdr:rowOff>
    </xdr:from>
    <xdr:to>
      <xdr:col>21</xdr:col>
      <xdr:colOff>190500</xdr:colOff>
      <xdr:row>9</xdr:row>
      <xdr:rowOff>0</xdr:rowOff>
    </xdr:to>
    <xdr:sp>
      <xdr:nvSpPr>
        <xdr:cNvPr id="4" name="TextBox 4"/>
        <xdr:cNvSpPr txBox="1">
          <a:spLocks noChangeArrowheads="1"/>
        </xdr:cNvSpPr>
      </xdr:nvSpPr>
      <xdr:spPr>
        <a:xfrm>
          <a:off x="9086850" y="1228725"/>
          <a:ext cx="6324600" cy="4857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Figure 6: Conjectured PTE Demand Curve, after adjustment for abstraction</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0.56825</cdr:x>
      <cdr:y>0.095</cdr:y>
    </cdr:from>
    <cdr:to>
      <cdr:x>0.7975</cdr:x>
      <cdr:y>0.1575</cdr:y>
    </cdr:to>
    <cdr:sp>
      <cdr:nvSpPr>
        <cdr:cNvPr id="1" name="Rectangle 1"/>
        <cdr:cNvSpPr>
          <a:spLocks/>
        </cdr:cNvSpPr>
      </cdr:nvSpPr>
      <cdr:spPr>
        <a:xfrm>
          <a:off x="4038600" y="428625"/>
          <a:ext cx="1628775" cy="285750"/>
        </a:xfrm>
        <a:prstGeom prst="rect">
          <a:avLst/>
        </a:prstGeom>
        <a:solidFill>
          <a:srgbClr val="FFFFFF"/>
        </a:solidFill>
        <a:ln w="25400"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304800</xdr:colOff>
      <xdr:row>9</xdr:row>
      <xdr:rowOff>38100</xdr:rowOff>
    </xdr:from>
    <xdr:to>
      <xdr:col>22</xdr:col>
      <xdr:colOff>104775</xdr:colOff>
      <xdr:row>33</xdr:row>
      <xdr:rowOff>38100</xdr:rowOff>
    </xdr:to>
    <xdr:graphicFrame>
      <xdr:nvGraphicFramePr>
        <xdr:cNvPr id="1" name="Chart 1"/>
        <xdr:cNvGraphicFramePr/>
      </xdr:nvGraphicFramePr>
      <xdr:xfrm>
        <a:off x="7934325" y="1752600"/>
        <a:ext cx="7115175" cy="4572000"/>
      </xdr:xfrm>
      <a:graphic>
        <a:graphicData uri="http://schemas.openxmlformats.org/drawingml/2006/chart">
          <c:chart xmlns:c="http://schemas.openxmlformats.org/drawingml/2006/chart" r:id="rId1"/>
        </a:graphicData>
      </a:graphic>
    </xdr:graphicFrame>
    <xdr:clientData/>
  </xdr:twoCellAnchor>
  <xdr:twoCellAnchor>
    <xdr:from>
      <xdr:col>11</xdr:col>
      <xdr:colOff>561975</xdr:colOff>
      <xdr:row>11</xdr:row>
      <xdr:rowOff>85725</xdr:rowOff>
    </xdr:from>
    <xdr:to>
      <xdr:col>17</xdr:col>
      <xdr:colOff>114300</xdr:colOff>
      <xdr:row>11</xdr:row>
      <xdr:rowOff>95250</xdr:rowOff>
    </xdr:to>
    <xdr:sp>
      <xdr:nvSpPr>
        <xdr:cNvPr id="2" name="Straight Connector 6"/>
        <xdr:cNvSpPr>
          <a:spLocks/>
        </xdr:cNvSpPr>
      </xdr:nvSpPr>
      <xdr:spPr>
        <a:xfrm>
          <a:off x="8801100" y="2181225"/>
          <a:ext cx="3209925" cy="9525"/>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180975</xdr:colOff>
      <xdr:row>10</xdr:row>
      <xdr:rowOff>142875</xdr:rowOff>
    </xdr:from>
    <xdr:to>
      <xdr:col>20</xdr:col>
      <xdr:colOff>152400</xdr:colOff>
      <xdr:row>12</xdr:row>
      <xdr:rowOff>76200</xdr:rowOff>
    </xdr:to>
    <xdr:sp>
      <xdr:nvSpPr>
        <xdr:cNvPr id="3" name="TextBox 7"/>
        <xdr:cNvSpPr txBox="1">
          <a:spLocks noChangeArrowheads="1"/>
        </xdr:cNvSpPr>
      </xdr:nvSpPr>
      <xdr:spPr>
        <a:xfrm>
          <a:off x="12077700" y="2047875"/>
          <a:ext cx="180022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notional full fare at 2008/9</a:t>
          </a:r>
        </a:p>
      </xdr:txBody>
    </xdr:sp>
    <xdr:clientData/>
  </xdr:twoCellAnchor>
  <xdr:twoCellAnchor>
    <xdr:from>
      <xdr:col>10</xdr:col>
      <xdr:colOff>571500</xdr:colOff>
      <xdr:row>6</xdr:row>
      <xdr:rowOff>85725</xdr:rowOff>
    </xdr:from>
    <xdr:to>
      <xdr:col>21</xdr:col>
      <xdr:colOff>190500</xdr:colOff>
      <xdr:row>9</xdr:row>
      <xdr:rowOff>0</xdr:rowOff>
    </xdr:to>
    <xdr:sp>
      <xdr:nvSpPr>
        <xdr:cNvPr id="4" name="TextBox 8"/>
        <xdr:cNvSpPr txBox="1">
          <a:spLocks noChangeArrowheads="1"/>
        </xdr:cNvSpPr>
      </xdr:nvSpPr>
      <xdr:spPr>
        <a:xfrm>
          <a:off x="8201025" y="1228725"/>
          <a:ext cx="6324600" cy="4857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Figure 6: Conjectured Shires Demand Curve, after adjustment for abstraction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ons.gov.uk/ons/datasets-and-tables/data-selector.html?cdid=D7BT&amp;dataset=mm23&amp;table-id=1.1"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oleObject" Target="../embeddings/oleObject_10_1.bin" /><Relationship Id="rId3" Type="http://schemas.openxmlformats.org/officeDocument/2006/relationships/oleObject" Target="../embeddings/oleObject_10_2.bin" /><Relationship Id="rId4" Type="http://schemas.openxmlformats.org/officeDocument/2006/relationships/oleObject" Target="../embeddings/oleObject_10_3.bin" /><Relationship Id="rId5" Type="http://schemas.openxmlformats.org/officeDocument/2006/relationships/vmlDrawing" Target="../drawings/vmlDrawing8.vml" /><Relationship Id="rId6"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5"/>
  </sheetPr>
  <dimension ref="A1:AF175"/>
  <sheetViews>
    <sheetView zoomScalePageLayoutView="0" workbookViewId="0" topLeftCell="A1">
      <selection activeCell="B2" sqref="B2"/>
    </sheetView>
  </sheetViews>
  <sheetFormatPr defaultColWidth="9.140625" defaultRowHeight="15"/>
  <cols>
    <col min="1" max="1" width="6.8515625" style="141" customWidth="1"/>
    <col min="2" max="2" width="107.28125" style="273" customWidth="1"/>
    <col min="3" max="3" width="20.8515625" style="882" customWidth="1"/>
    <col min="4" max="4" width="10.57421875" style="487" customWidth="1"/>
    <col min="5" max="5" width="11.00390625" style="487" customWidth="1"/>
    <col min="6" max="11" width="9.140625" style="487" customWidth="1"/>
    <col min="12" max="12" width="58.421875" style="487" customWidth="1"/>
    <col min="13" max="13" width="25.7109375" style="145" customWidth="1"/>
    <col min="14" max="14" width="9.140625" style="487" customWidth="1"/>
    <col min="15" max="15" width="10.8515625" style="487" customWidth="1"/>
    <col min="16" max="16384" width="9.140625" style="487" customWidth="1"/>
  </cols>
  <sheetData>
    <row r="1" spans="1:12" ht="16.5" customHeight="1">
      <c r="A1" s="883"/>
      <c r="B1" s="831"/>
      <c r="C1" s="865"/>
      <c r="D1" s="852"/>
      <c r="E1" s="852"/>
      <c r="F1" s="496"/>
      <c r="G1" s="496"/>
      <c r="H1" s="496"/>
      <c r="I1" s="496"/>
      <c r="J1" s="496"/>
      <c r="K1" s="496"/>
      <c r="L1" s="496"/>
    </row>
    <row r="2" spans="1:15" ht="16.5" customHeight="1">
      <c r="A2" s="884"/>
      <c r="B2" s="833"/>
      <c r="C2" s="866"/>
      <c r="D2" s="857"/>
      <c r="E2" s="852"/>
      <c r="F2" s="496"/>
      <c r="G2" s="496"/>
      <c r="H2" s="496"/>
      <c r="I2" s="496"/>
      <c r="J2" s="496"/>
      <c r="K2" s="496"/>
      <c r="L2" s="496"/>
      <c r="M2" s="142"/>
      <c r="N2" s="488"/>
      <c r="O2" s="488"/>
    </row>
    <row r="3" spans="3:15" ht="16.5" customHeight="1">
      <c r="C3" s="867"/>
      <c r="D3" s="496"/>
      <c r="E3" s="496"/>
      <c r="F3" s="496"/>
      <c r="G3" s="496"/>
      <c r="H3" s="496"/>
      <c r="I3" s="496"/>
      <c r="J3" s="496"/>
      <c r="K3" s="496"/>
      <c r="L3" s="496"/>
      <c r="M3" s="142"/>
      <c r="N3" s="488"/>
      <c r="O3" s="488"/>
    </row>
    <row r="4" spans="3:15" ht="16.5" customHeight="1">
      <c r="C4" s="867"/>
      <c r="D4" s="496"/>
      <c r="E4" s="496"/>
      <c r="F4" s="496"/>
      <c r="G4" s="496"/>
      <c r="H4" s="496"/>
      <c r="I4" s="496"/>
      <c r="J4" s="496"/>
      <c r="K4" s="496"/>
      <c r="L4" s="496"/>
      <c r="M4" s="142"/>
      <c r="N4" s="488"/>
      <c r="O4" s="488"/>
    </row>
    <row r="5" spans="3:32" ht="16.5" customHeight="1">
      <c r="C5" s="867"/>
      <c r="D5" s="496"/>
      <c r="E5" s="496"/>
      <c r="F5" s="496"/>
      <c r="G5" s="496"/>
      <c r="H5" s="496"/>
      <c r="I5" s="496"/>
      <c r="J5" s="496"/>
      <c r="K5" s="496"/>
      <c r="L5" s="496"/>
      <c r="M5" s="142"/>
      <c r="N5" s="488"/>
      <c r="O5" s="488"/>
      <c r="P5" s="488"/>
      <c r="Q5" s="488"/>
      <c r="R5" s="488"/>
      <c r="S5" s="488"/>
      <c r="T5" s="488"/>
      <c r="U5" s="488"/>
      <c r="V5" s="488"/>
      <c r="W5" s="488"/>
      <c r="X5" s="488"/>
      <c r="Y5" s="488"/>
      <c r="Z5" s="488"/>
      <c r="AA5" s="488"/>
      <c r="AB5" s="488"/>
      <c r="AC5" s="488"/>
      <c r="AD5" s="488"/>
      <c r="AE5" s="488"/>
      <c r="AF5" s="488"/>
    </row>
    <row r="6" spans="2:32" ht="53.25" customHeight="1">
      <c r="B6" s="843" t="s">
        <v>370</v>
      </c>
      <c r="C6" s="868"/>
      <c r="D6" s="843"/>
      <c r="E6" s="843"/>
      <c r="F6" s="843"/>
      <c r="G6" s="843"/>
      <c r="H6" s="843"/>
      <c r="I6" s="843"/>
      <c r="J6" s="843"/>
      <c r="K6" s="843"/>
      <c r="L6" s="843"/>
      <c r="M6" s="142"/>
      <c r="N6" s="488"/>
      <c r="O6" s="488"/>
      <c r="P6" s="488"/>
      <c r="Q6" s="488"/>
      <c r="R6" s="488"/>
      <c r="S6" s="488"/>
      <c r="T6" s="488"/>
      <c r="U6" s="488"/>
      <c r="V6" s="488"/>
      <c r="W6" s="488"/>
      <c r="X6" s="488"/>
      <c r="Y6" s="488"/>
      <c r="Z6" s="488"/>
      <c r="AA6" s="488"/>
      <c r="AB6" s="488"/>
      <c r="AC6" s="488"/>
      <c r="AD6" s="488"/>
      <c r="AE6" s="488"/>
      <c r="AF6" s="488"/>
    </row>
    <row r="7" spans="2:32" ht="30.75" customHeight="1">
      <c r="B7" s="839" t="s">
        <v>114</v>
      </c>
      <c r="C7" s="869"/>
      <c r="D7" s="840"/>
      <c r="E7" s="840"/>
      <c r="F7" s="840"/>
      <c r="G7" s="840"/>
      <c r="H7" s="840"/>
      <c r="I7" s="840"/>
      <c r="J7" s="840"/>
      <c r="K7" s="840"/>
      <c r="L7" s="840"/>
      <c r="M7" s="142"/>
      <c r="N7" s="488"/>
      <c r="O7" s="488"/>
      <c r="P7" s="488"/>
      <c r="Q7" s="488"/>
      <c r="R7" s="488"/>
      <c r="S7" s="488"/>
      <c r="T7" s="488"/>
      <c r="U7" s="488"/>
      <c r="V7" s="488"/>
      <c r="W7" s="488"/>
      <c r="X7" s="488"/>
      <c r="Y7" s="488"/>
      <c r="Z7" s="488"/>
      <c r="AA7" s="488"/>
      <c r="AB7" s="488"/>
      <c r="AC7" s="488"/>
      <c r="AD7" s="488"/>
      <c r="AE7" s="488"/>
      <c r="AF7" s="488"/>
    </row>
    <row r="8" spans="3:32" ht="15.75">
      <c r="C8" s="870"/>
      <c r="D8" s="496"/>
      <c r="E8" s="851"/>
      <c r="F8" s="851"/>
      <c r="G8" s="851"/>
      <c r="H8" s="851"/>
      <c r="I8" s="851"/>
      <c r="J8" s="851"/>
      <c r="K8" s="851"/>
      <c r="L8" s="851"/>
      <c r="M8" s="142"/>
      <c r="N8" s="488"/>
      <c r="O8" s="488"/>
      <c r="P8" s="488"/>
      <c r="Q8" s="488"/>
      <c r="R8" s="488"/>
      <c r="S8" s="488"/>
      <c r="T8" s="488"/>
      <c r="U8" s="488"/>
      <c r="V8" s="488"/>
      <c r="W8" s="488"/>
      <c r="X8" s="488"/>
      <c r="Y8" s="488"/>
      <c r="Z8" s="488"/>
      <c r="AA8" s="488"/>
      <c r="AB8" s="488"/>
      <c r="AC8" s="488"/>
      <c r="AD8" s="488"/>
      <c r="AE8" s="488"/>
      <c r="AF8" s="488"/>
    </row>
    <row r="9" spans="2:32" ht="15.75">
      <c r="B9" s="929" t="s">
        <v>171</v>
      </c>
      <c r="C9" s="871"/>
      <c r="F9" s="489"/>
      <c r="G9" s="489"/>
      <c r="I9" s="489"/>
      <c r="M9" s="142"/>
      <c r="N9" s="488"/>
      <c r="O9" s="488"/>
      <c r="P9" s="488"/>
      <c r="Q9" s="488"/>
      <c r="R9" s="488"/>
      <c r="S9" s="488"/>
      <c r="T9" s="488"/>
      <c r="U9" s="488"/>
      <c r="V9" s="488"/>
      <c r="W9" s="488"/>
      <c r="X9" s="488"/>
      <c r="Y9" s="488"/>
      <c r="Z9" s="488"/>
      <c r="AA9" s="488"/>
      <c r="AB9" s="488"/>
      <c r="AC9" s="488"/>
      <c r="AD9" s="488"/>
      <c r="AE9" s="488"/>
      <c r="AF9" s="488"/>
    </row>
    <row r="10" spans="1:32" s="491" customFormat="1" ht="38.25" customHeight="1">
      <c r="A10" s="885"/>
      <c r="B10" s="858" t="s">
        <v>80</v>
      </c>
      <c r="C10" s="337"/>
      <c r="D10" s="854"/>
      <c r="E10" s="854"/>
      <c r="F10" s="854"/>
      <c r="G10" s="854"/>
      <c r="H10" s="854"/>
      <c r="I10" s="854"/>
      <c r="J10" s="854"/>
      <c r="K10" s="854"/>
      <c r="L10" s="854"/>
      <c r="N10" s="490"/>
      <c r="O10" s="490"/>
      <c r="P10" s="490"/>
      <c r="Q10" s="490"/>
      <c r="R10" s="490"/>
      <c r="S10" s="490"/>
      <c r="T10" s="490"/>
      <c r="U10" s="490"/>
      <c r="V10" s="490"/>
      <c r="W10" s="490"/>
      <c r="X10" s="490"/>
      <c r="Y10" s="490"/>
      <c r="Z10" s="490"/>
      <c r="AA10" s="490"/>
      <c r="AB10" s="490"/>
      <c r="AC10" s="490"/>
      <c r="AD10" s="490"/>
      <c r="AE10" s="490"/>
      <c r="AF10" s="490"/>
    </row>
    <row r="11" spans="1:21" s="494" customFormat="1" ht="48.75" customHeight="1">
      <c r="A11" s="147"/>
      <c r="B11" s="860" t="s">
        <v>439</v>
      </c>
      <c r="C11" s="872"/>
      <c r="D11" s="855"/>
      <c r="E11" s="855"/>
      <c r="F11" s="855"/>
      <c r="G11" s="855"/>
      <c r="H11" s="855"/>
      <c r="I11" s="855"/>
      <c r="J11" s="855"/>
      <c r="K11" s="855"/>
      <c r="L11" s="855"/>
      <c r="M11" s="143"/>
      <c r="N11" s="492"/>
      <c r="O11" s="492"/>
      <c r="P11" s="492"/>
      <c r="Q11" s="492"/>
      <c r="R11" s="493"/>
      <c r="S11" s="493"/>
      <c r="T11" s="493"/>
      <c r="U11" s="493"/>
    </row>
    <row r="12" spans="1:21" s="494" customFormat="1" ht="57.75" customHeight="1">
      <c r="A12" s="147"/>
      <c r="B12" s="860" t="s">
        <v>385</v>
      </c>
      <c r="C12" s="872"/>
      <c r="D12" s="855"/>
      <c r="E12" s="855"/>
      <c r="F12" s="855"/>
      <c r="G12" s="855"/>
      <c r="H12" s="855"/>
      <c r="I12" s="855"/>
      <c r="J12" s="855"/>
      <c r="K12" s="855"/>
      <c r="L12" s="855"/>
      <c r="M12" s="143"/>
      <c r="N12" s="492"/>
      <c r="O12" s="492"/>
      <c r="P12" s="492"/>
      <c r="Q12" s="492"/>
      <c r="R12" s="493"/>
      <c r="S12" s="493"/>
      <c r="T12" s="493"/>
      <c r="U12" s="493"/>
    </row>
    <row r="13" spans="1:21" s="494" customFormat="1" ht="78" customHeight="1">
      <c r="A13" s="147"/>
      <c r="B13" s="861" t="s">
        <v>181</v>
      </c>
      <c r="C13" s="872"/>
      <c r="D13" s="855"/>
      <c r="E13" s="855"/>
      <c r="F13" s="855"/>
      <c r="G13" s="855"/>
      <c r="H13" s="855"/>
      <c r="I13" s="855"/>
      <c r="J13" s="855"/>
      <c r="K13" s="855"/>
      <c r="L13" s="855"/>
      <c r="M13" s="143"/>
      <c r="N13" s="492"/>
      <c r="O13" s="492"/>
      <c r="P13" s="492"/>
      <c r="Q13" s="492"/>
      <c r="R13" s="493"/>
      <c r="S13" s="493"/>
      <c r="T13" s="493"/>
      <c r="U13" s="493"/>
    </row>
    <row r="14" spans="1:21" s="494" customFormat="1" ht="137.25" customHeight="1">
      <c r="A14" s="147"/>
      <c r="B14" s="862" t="s">
        <v>98</v>
      </c>
      <c r="C14" s="872"/>
      <c r="D14" s="855"/>
      <c r="E14" s="855"/>
      <c r="F14" s="855"/>
      <c r="G14" s="855"/>
      <c r="H14" s="855"/>
      <c r="I14" s="855"/>
      <c r="J14" s="855"/>
      <c r="K14" s="855"/>
      <c r="L14" s="855"/>
      <c r="M14" s="143"/>
      <c r="N14" s="492"/>
      <c r="O14" s="492"/>
      <c r="P14" s="492"/>
      <c r="Q14" s="492"/>
      <c r="R14" s="493"/>
      <c r="S14" s="493"/>
      <c r="T14" s="493"/>
      <c r="U14" s="493"/>
    </row>
    <row r="15" spans="1:21" s="494" customFormat="1" ht="17.25" customHeight="1">
      <c r="A15" s="147"/>
      <c r="B15" s="862" t="s">
        <v>209</v>
      </c>
      <c r="C15" s="872"/>
      <c r="D15" s="855"/>
      <c r="E15" s="855"/>
      <c r="F15" s="855"/>
      <c r="G15" s="855"/>
      <c r="H15" s="855"/>
      <c r="I15" s="855"/>
      <c r="J15" s="855"/>
      <c r="K15" s="855"/>
      <c r="L15" s="855"/>
      <c r="M15" s="143"/>
      <c r="N15" s="492"/>
      <c r="O15" s="492"/>
      <c r="P15" s="492"/>
      <c r="Q15" s="492"/>
      <c r="R15" s="493"/>
      <c r="S15" s="493"/>
      <c r="T15" s="493"/>
      <c r="U15" s="493"/>
    </row>
    <row r="16" spans="1:21" s="494" customFormat="1" ht="15">
      <c r="A16" s="147"/>
      <c r="B16" s="863" t="s">
        <v>97</v>
      </c>
      <c r="C16" s="873"/>
      <c r="D16" s="856"/>
      <c r="E16" s="853"/>
      <c r="F16" s="853"/>
      <c r="G16" s="853"/>
      <c r="H16" s="853"/>
      <c r="I16" s="853"/>
      <c r="J16" s="853"/>
      <c r="K16" s="853"/>
      <c r="L16" s="853"/>
      <c r="M16" s="144"/>
      <c r="N16" s="495"/>
      <c r="O16" s="495"/>
      <c r="P16" s="495"/>
      <c r="Q16" s="495"/>
      <c r="R16" s="493"/>
      <c r="S16" s="493"/>
      <c r="T16" s="493"/>
      <c r="U16" s="493"/>
    </row>
    <row r="17" spans="1:21" s="494" customFormat="1" ht="15">
      <c r="A17" s="147"/>
      <c r="B17" s="863" t="s">
        <v>103</v>
      </c>
      <c r="C17" s="874"/>
      <c r="D17" s="856"/>
      <c r="E17" s="853"/>
      <c r="F17" s="853"/>
      <c r="G17" s="853"/>
      <c r="H17" s="853"/>
      <c r="I17" s="853"/>
      <c r="J17" s="853"/>
      <c r="K17" s="853"/>
      <c r="L17" s="853"/>
      <c r="M17" s="144"/>
      <c r="N17" s="495"/>
      <c r="O17" s="495"/>
      <c r="P17" s="495"/>
      <c r="Q17" s="495"/>
      <c r="R17" s="493"/>
      <c r="S17" s="493"/>
      <c r="T17" s="493"/>
      <c r="U17" s="493"/>
    </row>
    <row r="18" spans="1:12" ht="15">
      <c r="A18" s="147"/>
      <c r="B18" s="863" t="s">
        <v>119</v>
      </c>
      <c r="C18" s="875"/>
      <c r="D18" s="851"/>
      <c r="E18" s="853"/>
      <c r="F18" s="853"/>
      <c r="G18" s="853"/>
      <c r="H18" s="853"/>
      <c r="I18" s="853"/>
      <c r="J18" s="853"/>
      <c r="K18" s="853"/>
      <c r="L18" s="853"/>
    </row>
    <row r="19" spans="1:12" ht="15">
      <c r="A19" s="147"/>
      <c r="B19" s="864"/>
      <c r="C19" s="876"/>
      <c r="D19" s="851"/>
      <c r="E19" s="851"/>
      <c r="F19" s="851"/>
      <c r="G19" s="851"/>
      <c r="H19" s="851"/>
      <c r="I19" s="851"/>
      <c r="J19" s="851"/>
      <c r="K19" s="851"/>
      <c r="L19" s="851"/>
    </row>
    <row r="20" spans="1:12" ht="43.5" customHeight="1">
      <c r="A20" s="886" t="s">
        <v>207</v>
      </c>
      <c r="B20" s="858" t="s">
        <v>371</v>
      </c>
      <c r="C20" s="877" t="s">
        <v>208</v>
      </c>
      <c r="D20" s="845"/>
      <c r="E20" s="845"/>
      <c r="F20" s="845"/>
      <c r="G20" s="845"/>
      <c r="H20" s="845"/>
      <c r="I20" s="845"/>
      <c r="J20" s="845"/>
      <c r="K20" s="845"/>
      <c r="L20" s="845"/>
    </row>
    <row r="21" spans="1:12" ht="18.75">
      <c r="A21" s="887"/>
      <c r="B21" s="894" t="s">
        <v>478</v>
      </c>
      <c r="C21" s="878"/>
      <c r="D21" s="846"/>
      <c r="E21" s="846"/>
      <c r="F21" s="846"/>
      <c r="G21" s="846"/>
      <c r="H21" s="846"/>
      <c r="I21" s="846"/>
      <c r="J21" s="846"/>
      <c r="K21" s="846"/>
      <c r="L21" s="846"/>
    </row>
    <row r="22" spans="1:12" ht="18" customHeight="1">
      <c r="A22" s="146">
        <v>1</v>
      </c>
      <c r="B22" s="860" t="s">
        <v>120</v>
      </c>
      <c r="C22" s="879" t="s">
        <v>166</v>
      </c>
      <c r="D22" s="841"/>
      <c r="E22" s="841"/>
      <c r="F22" s="841"/>
      <c r="G22" s="841"/>
      <c r="H22" s="841"/>
      <c r="I22" s="841"/>
      <c r="J22" s="841"/>
      <c r="K22" s="841"/>
      <c r="L22" s="841"/>
    </row>
    <row r="23" spans="1:12" ht="15" customHeight="1">
      <c r="A23" s="146">
        <v>2</v>
      </c>
      <c r="B23" s="860" t="s">
        <v>121</v>
      </c>
      <c r="C23" s="878"/>
      <c r="D23" s="841"/>
      <c r="E23" s="841"/>
      <c r="F23" s="841"/>
      <c r="G23" s="841"/>
      <c r="H23" s="841"/>
      <c r="I23" s="841"/>
      <c r="J23" s="841"/>
      <c r="K23" s="841"/>
      <c r="L23" s="841"/>
    </row>
    <row r="24" spans="1:12" ht="15.75" customHeight="1">
      <c r="A24" s="146">
        <v>3</v>
      </c>
      <c r="B24" s="860" t="s">
        <v>122</v>
      </c>
      <c r="C24" s="879" t="s">
        <v>210</v>
      </c>
      <c r="D24" s="841"/>
      <c r="E24" s="841"/>
      <c r="F24" s="841"/>
      <c r="G24" s="841"/>
      <c r="H24" s="841"/>
      <c r="I24" s="841"/>
      <c r="J24" s="841"/>
      <c r="K24" s="841"/>
      <c r="L24" s="841"/>
    </row>
    <row r="25" spans="1:12" ht="6.75" customHeight="1">
      <c r="A25" s="146"/>
      <c r="B25" s="844"/>
      <c r="C25" s="878"/>
      <c r="D25" s="847"/>
      <c r="E25" s="847"/>
      <c r="F25" s="847"/>
      <c r="G25" s="847"/>
      <c r="H25" s="847"/>
      <c r="I25" s="847"/>
      <c r="J25" s="847"/>
      <c r="K25" s="847"/>
      <c r="L25" s="847"/>
    </row>
    <row r="26" spans="1:12" ht="18.75">
      <c r="A26" s="147"/>
      <c r="B26" s="894" t="s">
        <v>477</v>
      </c>
      <c r="C26" s="878"/>
      <c r="D26" s="846"/>
      <c r="E26" s="846"/>
      <c r="F26" s="846"/>
      <c r="G26" s="846"/>
      <c r="H26" s="846"/>
      <c r="I26" s="846"/>
      <c r="J26" s="846"/>
      <c r="K26" s="846"/>
      <c r="L26" s="846"/>
    </row>
    <row r="27" spans="1:12" ht="97.5" customHeight="1">
      <c r="A27" s="146">
        <v>4</v>
      </c>
      <c r="B27" s="861" t="s">
        <v>182</v>
      </c>
      <c r="C27" s="879" t="s">
        <v>333</v>
      </c>
      <c r="D27" s="841"/>
      <c r="E27" s="841"/>
      <c r="F27" s="841"/>
      <c r="G27" s="841"/>
      <c r="H27" s="841"/>
      <c r="I27" s="841"/>
      <c r="J27" s="841"/>
      <c r="K27" s="841"/>
      <c r="L27" s="841"/>
    </row>
    <row r="28" spans="1:12" ht="15.75">
      <c r="A28" s="146">
        <v>5</v>
      </c>
      <c r="B28" s="888" t="s">
        <v>113</v>
      </c>
      <c r="C28" s="879" t="s">
        <v>375</v>
      </c>
      <c r="D28" s="848"/>
      <c r="E28" s="848"/>
      <c r="F28" s="848"/>
      <c r="G28" s="848"/>
      <c r="H28" s="848"/>
      <c r="I28" s="848"/>
      <c r="J28" s="848"/>
      <c r="K28" s="848"/>
      <c r="L28" s="848"/>
    </row>
    <row r="29" spans="1:12" ht="154.5" customHeight="1">
      <c r="A29" s="147"/>
      <c r="B29" s="860" t="s">
        <v>372</v>
      </c>
      <c r="C29" s="878"/>
      <c r="D29" s="849"/>
      <c r="E29" s="849"/>
      <c r="F29" s="849"/>
      <c r="G29" s="849"/>
      <c r="H29" s="849"/>
      <c r="I29" s="849"/>
      <c r="J29" s="849"/>
      <c r="K29" s="849"/>
      <c r="L29" s="849"/>
    </row>
    <row r="30" spans="1:12" ht="15.75" customHeight="1">
      <c r="A30" s="146">
        <v>6</v>
      </c>
      <c r="B30" s="860" t="s">
        <v>123</v>
      </c>
      <c r="C30" s="878" t="s">
        <v>220</v>
      </c>
      <c r="D30" s="841"/>
      <c r="E30" s="841"/>
      <c r="F30" s="841"/>
      <c r="G30" s="841"/>
      <c r="H30" s="841"/>
      <c r="I30" s="841"/>
      <c r="J30" s="841"/>
      <c r="K30" s="841"/>
      <c r="L30" s="841"/>
    </row>
    <row r="31" spans="1:12" ht="33.75" customHeight="1">
      <c r="A31" s="146">
        <v>7</v>
      </c>
      <c r="B31" s="860" t="s">
        <v>124</v>
      </c>
      <c r="C31" s="878" t="s">
        <v>220</v>
      </c>
      <c r="D31" s="841"/>
      <c r="E31" s="841"/>
      <c r="F31" s="841"/>
      <c r="G31" s="841"/>
      <c r="H31" s="841"/>
      <c r="I31" s="841"/>
      <c r="J31" s="841"/>
      <c r="K31" s="841"/>
      <c r="L31" s="841"/>
    </row>
    <row r="32" spans="1:12" ht="36" customHeight="1">
      <c r="A32" s="146">
        <v>8</v>
      </c>
      <c r="B32" s="860" t="s">
        <v>436</v>
      </c>
      <c r="C32" s="878" t="s">
        <v>220</v>
      </c>
      <c r="D32" s="841"/>
      <c r="E32" s="841"/>
      <c r="F32" s="841"/>
      <c r="G32" s="841"/>
      <c r="H32" s="841"/>
      <c r="I32" s="841"/>
      <c r="J32" s="841"/>
      <c r="K32" s="841"/>
      <c r="L32" s="841"/>
    </row>
    <row r="33" spans="1:12" ht="18" customHeight="1">
      <c r="A33" s="146">
        <v>9</v>
      </c>
      <c r="B33" s="861" t="s">
        <v>125</v>
      </c>
      <c r="C33" s="878" t="s">
        <v>376</v>
      </c>
      <c r="D33" s="841"/>
      <c r="E33" s="841"/>
      <c r="F33" s="841"/>
      <c r="G33" s="841"/>
      <c r="H33" s="841"/>
      <c r="I33" s="841"/>
      <c r="J33" s="841"/>
      <c r="K33" s="841"/>
      <c r="L33" s="841"/>
    </row>
    <row r="34" spans="1:12" ht="18" customHeight="1">
      <c r="A34" s="146">
        <v>10</v>
      </c>
      <c r="B34" s="861" t="s">
        <v>126</v>
      </c>
      <c r="C34" s="878" t="s">
        <v>377</v>
      </c>
      <c r="D34" s="841"/>
      <c r="E34" s="841"/>
      <c r="F34" s="841"/>
      <c r="G34" s="841"/>
      <c r="H34" s="841"/>
      <c r="I34" s="841"/>
      <c r="J34" s="841"/>
      <c r="K34" s="841"/>
      <c r="L34" s="841"/>
    </row>
    <row r="35" spans="1:12" ht="18" customHeight="1">
      <c r="A35" s="146">
        <v>11</v>
      </c>
      <c r="B35" s="861" t="s">
        <v>127</v>
      </c>
      <c r="C35" s="879" t="s">
        <v>167</v>
      </c>
      <c r="D35" s="841"/>
      <c r="E35" s="841"/>
      <c r="F35" s="841"/>
      <c r="G35" s="841"/>
      <c r="H35" s="841"/>
      <c r="I35" s="841"/>
      <c r="J35" s="841"/>
      <c r="K35" s="841"/>
      <c r="L35" s="841"/>
    </row>
    <row r="36" spans="1:12" ht="30.75" customHeight="1">
      <c r="A36" s="146">
        <v>12</v>
      </c>
      <c r="B36" s="862" t="s">
        <v>128</v>
      </c>
      <c r="C36" s="879" t="s">
        <v>358</v>
      </c>
      <c r="D36" s="841"/>
      <c r="E36" s="841"/>
      <c r="F36" s="841"/>
      <c r="G36" s="841"/>
      <c r="H36" s="841"/>
      <c r="I36" s="841"/>
      <c r="J36" s="841"/>
      <c r="K36" s="841"/>
      <c r="L36" s="841"/>
    </row>
    <row r="37" spans="1:12" ht="15.75">
      <c r="A37" s="146">
        <v>13</v>
      </c>
      <c r="B37" s="888" t="s">
        <v>55</v>
      </c>
      <c r="C37" s="878" t="s">
        <v>440</v>
      </c>
      <c r="D37" s="848"/>
      <c r="E37" s="848"/>
      <c r="F37" s="848"/>
      <c r="G37" s="848"/>
      <c r="H37" s="848"/>
      <c r="I37" s="848"/>
      <c r="J37" s="848"/>
      <c r="K37" s="848"/>
      <c r="L37" s="848"/>
    </row>
    <row r="38" spans="1:13" s="882" customFormat="1" ht="34.5" customHeight="1">
      <c r="A38" s="889"/>
      <c r="B38" s="860" t="s">
        <v>454</v>
      </c>
      <c r="C38" s="878"/>
      <c r="D38" s="890"/>
      <c r="E38" s="890"/>
      <c r="F38" s="890"/>
      <c r="G38" s="890"/>
      <c r="H38" s="890"/>
      <c r="I38" s="890"/>
      <c r="J38" s="890"/>
      <c r="K38" s="890"/>
      <c r="L38" s="890"/>
      <c r="M38" s="891"/>
    </row>
    <row r="39" spans="1:13" s="882" customFormat="1" ht="36.75" customHeight="1">
      <c r="A39" s="146">
        <v>14</v>
      </c>
      <c r="B39" s="892" t="s">
        <v>129</v>
      </c>
      <c r="C39" s="879" t="s">
        <v>168</v>
      </c>
      <c r="D39" s="890"/>
      <c r="E39" s="890"/>
      <c r="F39" s="890"/>
      <c r="G39" s="890"/>
      <c r="H39" s="890"/>
      <c r="I39" s="890"/>
      <c r="J39" s="890"/>
      <c r="K39" s="890"/>
      <c r="L39" s="890"/>
      <c r="M39" s="891"/>
    </row>
    <row r="40" spans="1:13" s="882" customFormat="1" ht="33" customHeight="1">
      <c r="A40" s="146">
        <v>15</v>
      </c>
      <c r="B40" s="892" t="s">
        <v>130</v>
      </c>
      <c r="C40" s="879" t="s">
        <v>168</v>
      </c>
      <c r="D40" s="890"/>
      <c r="E40" s="890"/>
      <c r="F40" s="890"/>
      <c r="G40" s="890"/>
      <c r="H40" s="890"/>
      <c r="I40" s="890"/>
      <c r="J40" s="890"/>
      <c r="K40" s="890"/>
      <c r="L40" s="890"/>
      <c r="M40" s="891"/>
    </row>
    <row r="41" spans="1:13" s="882" customFormat="1" ht="59.25" customHeight="1">
      <c r="A41" s="146">
        <v>16</v>
      </c>
      <c r="B41" s="892" t="s">
        <v>131</v>
      </c>
      <c r="C41" s="878" t="s">
        <v>359</v>
      </c>
      <c r="D41" s="890"/>
      <c r="E41" s="890"/>
      <c r="F41" s="890"/>
      <c r="G41" s="890"/>
      <c r="H41" s="890"/>
      <c r="I41" s="890"/>
      <c r="J41" s="890"/>
      <c r="K41" s="890"/>
      <c r="L41" s="890"/>
      <c r="M41" s="891"/>
    </row>
    <row r="42" spans="1:13" s="882" customFormat="1" ht="31.5" customHeight="1">
      <c r="A42" s="146">
        <v>17</v>
      </c>
      <c r="B42" s="892" t="s">
        <v>132</v>
      </c>
      <c r="C42" s="878">
        <v>5.45</v>
      </c>
      <c r="D42" s="890"/>
      <c r="E42" s="890"/>
      <c r="F42" s="890"/>
      <c r="G42" s="890"/>
      <c r="H42" s="890"/>
      <c r="I42" s="890"/>
      <c r="J42" s="890"/>
      <c r="K42" s="890"/>
      <c r="L42" s="890"/>
      <c r="M42" s="891"/>
    </row>
    <row r="43" spans="1:13" s="882" customFormat="1" ht="31.5" customHeight="1">
      <c r="A43" s="146">
        <v>18</v>
      </c>
      <c r="B43" s="892" t="s">
        <v>133</v>
      </c>
      <c r="C43" s="878">
        <v>5.44</v>
      </c>
      <c r="D43" s="890"/>
      <c r="E43" s="890"/>
      <c r="F43" s="890"/>
      <c r="G43" s="890"/>
      <c r="H43" s="890"/>
      <c r="I43" s="890"/>
      <c r="J43" s="890"/>
      <c r="K43" s="890"/>
      <c r="L43" s="890"/>
      <c r="M43" s="891"/>
    </row>
    <row r="44" spans="1:13" s="882" customFormat="1" ht="34.5" customHeight="1">
      <c r="A44" s="146">
        <v>19</v>
      </c>
      <c r="B44" s="892" t="s">
        <v>134</v>
      </c>
      <c r="C44" s="878" t="s">
        <v>441</v>
      </c>
      <c r="D44" s="890"/>
      <c r="E44" s="890"/>
      <c r="F44" s="890"/>
      <c r="G44" s="890"/>
      <c r="H44" s="890"/>
      <c r="I44" s="890"/>
      <c r="J44" s="890"/>
      <c r="K44" s="890"/>
      <c r="L44" s="890"/>
      <c r="M44" s="891"/>
    </row>
    <row r="45" spans="1:13" s="882" customFormat="1" ht="19.5" customHeight="1">
      <c r="A45" s="146">
        <v>20</v>
      </c>
      <c r="B45" s="892" t="s">
        <v>135</v>
      </c>
      <c r="C45" s="878"/>
      <c r="D45" s="890"/>
      <c r="E45" s="890"/>
      <c r="F45" s="890"/>
      <c r="G45" s="890"/>
      <c r="H45" s="890"/>
      <c r="I45" s="890"/>
      <c r="J45" s="890"/>
      <c r="K45" s="890"/>
      <c r="L45" s="890"/>
      <c r="M45" s="891"/>
    </row>
    <row r="46" spans="1:13" s="882" customFormat="1" ht="30" customHeight="1">
      <c r="A46" s="146">
        <v>21</v>
      </c>
      <c r="B46" s="892" t="s">
        <v>136</v>
      </c>
      <c r="C46" s="878"/>
      <c r="D46" s="890"/>
      <c r="E46" s="890"/>
      <c r="F46" s="890"/>
      <c r="G46" s="890"/>
      <c r="H46" s="890"/>
      <c r="I46" s="890"/>
      <c r="J46" s="890"/>
      <c r="K46" s="890"/>
      <c r="L46" s="890"/>
      <c r="M46" s="891"/>
    </row>
    <row r="47" spans="1:12" ht="8.25" customHeight="1">
      <c r="A47" s="147"/>
      <c r="B47" s="844"/>
      <c r="C47" s="878"/>
      <c r="D47" s="847"/>
      <c r="E47" s="847"/>
      <c r="F47" s="847"/>
      <c r="G47" s="847"/>
      <c r="H47" s="847"/>
      <c r="I47" s="847"/>
      <c r="J47" s="847"/>
      <c r="K47" s="847"/>
      <c r="L47" s="847"/>
    </row>
    <row r="48" spans="1:12" ht="20.25" customHeight="1">
      <c r="A48" s="146" t="s">
        <v>455</v>
      </c>
      <c r="B48" s="894" t="s">
        <v>479</v>
      </c>
      <c r="C48" s="878"/>
      <c r="D48" s="846"/>
      <c r="E48" s="846"/>
      <c r="F48" s="846"/>
      <c r="G48" s="846"/>
      <c r="H48" s="846"/>
      <c r="I48" s="846"/>
      <c r="J48" s="846"/>
      <c r="K48" s="846"/>
      <c r="L48" s="846"/>
    </row>
    <row r="49" spans="1:12" ht="49.5" customHeight="1">
      <c r="A49" s="147"/>
      <c r="B49" s="861" t="s">
        <v>137</v>
      </c>
      <c r="C49" s="878" t="s">
        <v>475</v>
      </c>
      <c r="D49" s="841"/>
      <c r="E49" s="841"/>
      <c r="F49" s="841"/>
      <c r="G49" s="841"/>
      <c r="H49" s="841"/>
      <c r="I49" s="841"/>
      <c r="J49" s="841"/>
      <c r="K49" s="841"/>
      <c r="L49" s="841"/>
    </row>
    <row r="50" spans="1:12" ht="200.25" customHeight="1">
      <c r="A50" s="146" t="s">
        <v>456</v>
      </c>
      <c r="B50" s="861" t="s">
        <v>386</v>
      </c>
      <c r="C50" s="880" t="s">
        <v>169</v>
      </c>
      <c r="D50" s="841"/>
      <c r="E50" s="841"/>
      <c r="F50" s="841"/>
      <c r="G50" s="841"/>
      <c r="H50" s="841"/>
      <c r="I50" s="841"/>
      <c r="J50" s="841"/>
      <c r="K50" s="841"/>
      <c r="L50" s="841"/>
    </row>
    <row r="51" spans="1:12" ht="18" customHeight="1">
      <c r="A51" s="146">
        <v>23</v>
      </c>
      <c r="B51" s="892" t="s">
        <v>138</v>
      </c>
      <c r="C51" s="880" t="s">
        <v>169</v>
      </c>
      <c r="D51" s="841"/>
      <c r="E51" s="841"/>
      <c r="F51" s="841"/>
      <c r="G51" s="841"/>
      <c r="H51" s="841"/>
      <c r="I51" s="841"/>
      <c r="J51" s="841"/>
      <c r="K51" s="841"/>
      <c r="L51" s="841"/>
    </row>
    <row r="52" spans="1:12" ht="21" customHeight="1">
      <c r="A52" s="146">
        <v>24</v>
      </c>
      <c r="B52" s="892" t="s">
        <v>139</v>
      </c>
      <c r="C52" s="880" t="s">
        <v>169</v>
      </c>
      <c r="D52" s="841"/>
      <c r="E52" s="841"/>
      <c r="F52" s="841"/>
      <c r="G52" s="841"/>
      <c r="H52" s="841"/>
      <c r="I52" s="841"/>
      <c r="J52" s="841"/>
      <c r="K52" s="841"/>
      <c r="L52" s="841"/>
    </row>
    <row r="53" spans="1:12" ht="29.25" customHeight="1">
      <c r="A53" s="146">
        <v>25</v>
      </c>
      <c r="B53" s="892" t="s">
        <v>140</v>
      </c>
      <c r="C53" s="880" t="s">
        <v>169</v>
      </c>
      <c r="D53" s="841"/>
      <c r="E53" s="841"/>
      <c r="F53" s="841"/>
      <c r="G53" s="841"/>
      <c r="H53" s="841"/>
      <c r="I53" s="841"/>
      <c r="J53" s="841"/>
      <c r="K53" s="841"/>
      <c r="L53" s="841"/>
    </row>
    <row r="54" spans="1:23" ht="33" customHeight="1">
      <c r="A54" s="146">
        <v>26</v>
      </c>
      <c r="B54" s="892" t="s">
        <v>141</v>
      </c>
      <c r="C54" s="880" t="s">
        <v>169</v>
      </c>
      <c r="D54" s="841"/>
      <c r="E54" s="841"/>
      <c r="F54" s="841"/>
      <c r="G54" s="841"/>
      <c r="H54" s="841"/>
      <c r="I54" s="841"/>
      <c r="J54" s="841"/>
      <c r="K54" s="841"/>
      <c r="L54" s="841"/>
      <c r="O54" s="491"/>
      <c r="P54" s="491"/>
      <c r="Q54" s="491"/>
      <c r="R54" s="491"/>
      <c r="S54" s="491"/>
      <c r="T54" s="491"/>
      <c r="U54" s="491"/>
      <c r="V54" s="491"/>
      <c r="W54" s="491"/>
    </row>
    <row r="55" spans="1:12" ht="43.5" customHeight="1">
      <c r="A55" s="146">
        <v>27</v>
      </c>
      <c r="B55" s="892" t="s">
        <v>142</v>
      </c>
      <c r="C55" s="880" t="s">
        <v>169</v>
      </c>
      <c r="D55" s="841"/>
      <c r="E55" s="841"/>
      <c r="F55" s="841"/>
      <c r="G55" s="841"/>
      <c r="H55" s="841"/>
      <c r="I55" s="841"/>
      <c r="J55" s="841"/>
      <c r="K55" s="841"/>
      <c r="L55" s="841"/>
    </row>
    <row r="56" spans="1:12" ht="45" customHeight="1">
      <c r="A56" s="146">
        <v>28</v>
      </c>
      <c r="B56" s="892" t="s">
        <v>143</v>
      </c>
      <c r="C56" s="880" t="s">
        <v>169</v>
      </c>
      <c r="D56" s="841"/>
      <c r="E56" s="841"/>
      <c r="F56" s="841"/>
      <c r="G56" s="841"/>
      <c r="H56" s="841"/>
      <c r="I56" s="841"/>
      <c r="J56" s="841"/>
      <c r="K56" s="841"/>
      <c r="L56" s="841"/>
    </row>
    <row r="57" spans="1:12" ht="33" customHeight="1">
      <c r="A57" s="146">
        <v>29</v>
      </c>
      <c r="B57" s="892" t="s">
        <v>148</v>
      </c>
      <c r="C57" s="880" t="s">
        <v>169</v>
      </c>
      <c r="D57" s="841"/>
      <c r="E57" s="841"/>
      <c r="F57" s="841"/>
      <c r="G57" s="841"/>
      <c r="H57" s="841"/>
      <c r="I57" s="841"/>
      <c r="J57" s="841"/>
      <c r="K57" s="841"/>
      <c r="L57" s="841"/>
    </row>
    <row r="58" spans="1:12" ht="46.5" customHeight="1">
      <c r="A58" s="146">
        <v>30</v>
      </c>
      <c r="B58" s="892" t="s">
        <v>144</v>
      </c>
      <c r="C58" s="880" t="s">
        <v>169</v>
      </c>
      <c r="D58" s="841"/>
      <c r="E58" s="841"/>
      <c r="F58" s="841"/>
      <c r="G58" s="841"/>
      <c r="H58" s="841"/>
      <c r="I58" s="841"/>
      <c r="J58" s="841"/>
      <c r="K58" s="841"/>
      <c r="L58" s="841"/>
    </row>
    <row r="59" spans="1:12" ht="58.5" customHeight="1">
      <c r="A59" s="146">
        <v>31</v>
      </c>
      <c r="B59" s="892" t="s">
        <v>387</v>
      </c>
      <c r="C59" s="880" t="s">
        <v>169</v>
      </c>
      <c r="D59" s="841"/>
      <c r="E59" s="841"/>
      <c r="F59" s="841"/>
      <c r="G59" s="841"/>
      <c r="H59" s="841"/>
      <c r="I59" s="841"/>
      <c r="J59" s="841"/>
      <c r="K59" s="841"/>
      <c r="L59" s="841"/>
    </row>
    <row r="60" spans="1:12" ht="47.25" customHeight="1">
      <c r="A60" s="146">
        <v>32</v>
      </c>
      <c r="B60" s="892" t="s">
        <v>145</v>
      </c>
      <c r="C60" s="880" t="s">
        <v>169</v>
      </c>
      <c r="D60" s="841"/>
      <c r="E60" s="841"/>
      <c r="F60" s="841"/>
      <c r="G60" s="841"/>
      <c r="H60" s="841"/>
      <c r="I60" s="841"/>
      <c r="J60" s="841"/>
      <c r="K60" s="841"/>
      <c r="L60" s="841"/>
    </row>
    <row r="61" spans="1:12" ht="31.5" customHeight="1">
      <c r="A61" s="146">
        <v>33</v>
      </c>
      <c r="B61" s="892" t="s">
        <v>146</v>
      </c>
      <c r="C61" s="880" t="s">
        <v>169</v>
      </c>
      <c r="D61" s="841"/>
      <c r="E61" s="841"/>
      <c r="F61" s="841"/>
      <c r="G61" s="841"/>
      <c r="H61" s="841"/>
      <c r="I61" s="841"/>
      <c r="J61" s="841"/>
      <c r="K61" s="841"/>
      <c r="L61" s="841"/>
    </row>
    <row r="62" spans="1:12" ht="47.25" customHeight="1">
      <c r="A62" s="146">
        <v>34</v>
      </c>
      <c r="B62" s="892" t="s">
        <v>147</v>
      </c>
      <c r="C62" s="880" t="s">
        <v>169</v>
      </c>
      <c r="D62" s="841"/>
      <c r="E62" s="841"/>
      <c r="F62" s="841"/>
      <c r="G62" s="841"/>
      <c r="H62" s="841"/>
      <c r="I62" s="841"/>
      <c r="J62" s="841"/>
      <c r="K62" s="841"/>
      <c r="L62" s="841"/>
    </row>
    <row r="63" spans="1:12" ht="15">
      <c r="A63" s="147"/>
      <c r="B63" s="893"/>
      <c r="C63" s="878"/>
      <c r="D63" s="847"/>
      <c r="E63" s="847"/>
      <c r="F63" s="847"/>
      <c r="G63" s="847"/>
      <c r="H63" s="847"/>
      <c r="I63" s="847"/>
      <c r="J63" s="847"/>
      <c r="K63" s="847"/>
      <c r="L63" s="847"/>
    </row>
    <row r="64" spans="1:12" ht="24" customHeight="1">
      <c r="A64" s="146">
        <v>35</v>
      </c>
      <c r="B64" s="894" t="s">
        <v>206</v>
      </c>
      <c r="C64" s="878"/>
      <c r="D64" s="846"/>
      <c r="E64" s="846"/>
      <c r="F64" s="846"/>
      <c r="G64" s="846"/>
      <c r="H64" s="846"/>
      <c r="I64" s="846"/>
      <c r="J64" s="846"/>
      <c r="K64" s="846"/>
      <c r="L64" s="846"/>
    </row>
    <row r="65" spans="1:12" ht="37.5" customHeight="1">
      <c r="A65" s="147"/>
      <c r="B65" s="860" t="s">
        <v>149</v>
      </c>
      <c r="C65" s="878" t="s">
        <v>221</v>
      </c>
      <c r="D65" s="841"/>
      <c r="E65" s="841"/>
      <c r="F65" s="841"/>
      <c r="G65" s="841"/>
      <c r="H65" s="841"/>
      <c r="I65" s="841"/>
      <c r="J65" s="841"/>
      <c r="K65" s="841"/>
      <c r="L65" s="841"/>
    </row>
    <row r="66" spans="1:15" ht="18" customHeight="1">
      <c r="A66" s="146">
        <v>36</v>
      </c>
      <c r="B66" s="861" t="s">
        <v>150</v>
      </c>
      <c r="C66" s="878"/>
      <c r="D66" s="841"/>
      <c r="E66" s="841"/>
      <c r="F66" s="841"/>
      <c r="G66" s="841"/>
      <c r="H66" s="841"/>
      <c r="I66" s="841"/>
      <c r="J66" s="841"/>
      <c r="K66" s="841"/>
      <c r="L66" s="841"/>
      <c r="O66" s="164"/>
    </row>
    <row r="67" spans="1:15" ht="18" customHeight="1">
      <c r="A67" s="146">
        <v>37</v>
      </c>
      <c r="B67" s="861" t="s">
        <v>151</v>
      </c>
      <c r="C67" s="879"/>
      <c r="D67" s="850"/>
      <c r="E67" s="850"/>
      <c r="F67" s="850"/>
      <c r="G67" s="850"/>
      <c r="H67" s="850"/>
      <c r="I67" s="850"/>
      <c r="J67" s="850"/>
      <c r="K67" s="850"/>
      <c r="L67" s="850"/>
      <c r="O67" s="164"/>
    </row>
    <row r="68" spans="1:15" ht="15" customHeight="1">
      <c r="A68" s="146">
        <v>38</v>
      </c>
      <c r="B68" s="862" t="s">
        <v>442</v>
      </c>
      <c r="C68" s="879" t="s">
        <v>222</v>
      </c>
      <c r="D68" s="841"/>
      <c r="E68" s="841"/>
      <c r="F68" s="841"/>
      <c r="G68" s="841"/>
      <c r="H68" s="841"/>
      <c r="I68" s="841"/>
      <c r="J68" s="841"/>
      <c r="K68" s="841"/>
      <c r="L68" s="841"/>
      <c r="O68" s="164"/>
    </row>
    <row r="69" spans="1:15" ht="33" customHeight="1">
      <c r="A69" s="146">
        <v>39</v>
      </c>
      <c r="B69" s="892" t="s">
        <v>152</v>
      </c>
      <c r="C69" s="878" t="s">
        <v>223</v>
      </c>
      <c r="D69" s="841"/>
      <c r="E69" s="841"/>
      <c r="F69" s="841"/>
      <c r="G69" s="841"/>
      <c r="H69" s="841"/>
      <c r="I69" s="841"/>
      <c r="J69" s="841"/>
      <c r="K69" s="841"/>
      <c r="L69" s="841"/>
      <c r="O69" s="164"/>
    </row>
    <row r="70" spans="1:15" ht="44.25" customHeight="1">
      <c r="A70" s="146">
        <v>40</v>
      </c>
      <c r="B70" s="892" t="s">
        <v>153</v>
      </c>
      <c r="C70" s="878" t="s">
        <v>224</v>
      </c>
      <c r="D70" s="841"/>
      <c r="E70" s="841"/>
      <c r="F70" s="841"/>
      <c r="G70" s="841"/>
      <c r="H70" s="841"/>
      <c r="I70" s="841"/>
      <c r="J70" s="841"/>
      <c r="K70" s="841"/>
      <c r="L70" s="841"/>
      <c r="O70" s="164"/>
    </row>
    <row r="71" spans="1:15" ht="60" customHeight="1">
      <c r="A71" s="146">
        <v>41</v>
      </c>
      <c r="B71" s="892" t="s">
        <v>154</v>
      </c>
      <c r="C71" s="878" t="s">
        <v>224</v>
      </c>
      <c r="D71" s="841"/>
      <c r="E71" s="841"/>
      <c r="F71" s="841"/>
      <c r="G71" s="841"/>
      <c r="H71" s="841"/>
      <c r="I71" s="841"/>
      <c r="J71" s="841"/>
      <c r="K71" s="841"/>
      <c r="L71" s="841"/>
      <c r="O71" s="164"/>
    </row>
    <row r="72" spans="1:15" ht="46.5" customHeight="1">
      <c r="A72" s="146">
        <v>42</v>
      </c>
      <c r="B72" s="892" t="s">
        <v>155</v>
      </c>
      <c r="C72" s="878" t="s">
        <v>224</v>
      </c>
      <c r="D72" s="841"/>
      <c r="E72" s="841"/>
      <c r="F72" s="841"/>
      <c r="G72" s="841"/>
      <c r="H72" s="841"/>
      <c r="I72" s="841"/>
      <c r="J72" s="841"/>
      <c r="K72" s="841"/>
      <c r="L72" s="841"/>
      <c r="O72" s="164"/>
    </row>
    <row r="73" spans="1:15" ht="31.5" customHeight="1">
      <c r="A73" s="146">
        <v>43</v>
      </c>
      <c r="B73" s="892" t="s">
        <v>156</v>
      </c>
      <c r="C73" s="878" t="s">
        <v>224</v>
      </c>
      <c r="D73" s="841"/>
      <c r="E73" s="841"/>
      <c r="F73" s="841"/>
      <c r="G73" s="841"/>
      <c r="H73" s="841"/>
      <c r="I73" s="841"/>
      <c r="J73" s="841"/>
      <c r="K73" s="841"/>
      <c r="L73" s="841"/>
      <c r="O73" s="164"/>
    </row>
    <row r="74" spans="1:15" ht="43.5" customHeight="1">
      <c r="A74" s="146">
        <v>44</v>
      </c>
      <c r="B74" s="892" t="s">
        <v>157</v>
      </c>
      <c r="C74" s="878" t="s">
        <v>170</v>
      </c>
      <c r="D74" s="841"/>
      <c r="E74" s="841"/>
      <c r="F74" s="841"/>
      <c r="G74" s="841"/>
      <c r="H74" s="841"/>
      <c r="I74" s="841"/>
      <c r="J74" s="841"/>
      <c r="K74" s="841"/>
      <c r="L74" s="841"/>
      <c r="O74" s="164"/>
    </row>
    <row r="75" spans="1:15" ht="48.75" customHeight="1">
      <c r="A75" s="146">
        <v>45</v>
      </c>
      <c r="B75" s="892" t="s">
        <v>158</v>
      </c>
      <c r="C75" s="878" t="s">
        <v>225</v>
      </c>
      <c r="D75" s="841"/>
      <c r="E75" s="841"/>
      <c r="F75" s="841"/>
      <c r="G75" s="841"/>
      <c r="H75" s="841"/>
      <c r="I75" s="841"/>
      <c r="J75" s="841"/>
      <c r="K75" s="841"/>
      <c r="L75" s="841"/>
      <c r="O75" s="164"/>
    </row>
    <row r="76" spans="1:15" ht="16.5" customHeight="1">
      <c r="A76" s="146">
        <v>46</v>
      </c>
      <c r="B76" s="893" t="s">
        <v>328</v>
      </c>
      <c r="C76" s="878" t="s">
        <v>225</v>
      </c>
      <c r="D76" s="841"/>
      <c r="E76" s="841"/>
      <c r="F76" s="841"/>
      <c r="G76" s="841"/>
      <c r="H76" s="841"/>
      <c r="I76" s="841"/>
      <c r="J76" s="841"/>
      <c r="K76" s="841"/>
      <c r="L76" s="841"/>
      <c r="O76" s="164"/>
    </row>
    <row r="77" spans="1:15" ht="9.75" customHeight="1">
      <c r="A77" s="146"/>
      <c r="B77" s="844"/>
      <c r="C77" s="878"/>
      <c r="D77" s="841"/>
      <c r="E77" s="841"/>
      <c r="F77" s="841"/>
      <c r="G77" s="841"/>
      <c r="H77" s="841"/>
      <c r="I77" s="841"/>
      <c r="J77" s="841"/>
      <c r="K77" s="841"/>
      <c r="L77" s="841"/>
      <c r="O77" s="164"/>
    </row>
    <row r="78" spans="1:15" ht="24" customHeight="1">
      <c r="A78" s="146"/>
      <c r="B78" s="894" t="s">
        <v>332</v>
      </c>
      <c r="C78" s="878" t="s">
        <v>170</v>
      </c>
      <c r="D78" s="846"/>
      <c r="E78" s="846"/>
      <c r="F78" s="846"/>
      <c r="G78" s="846"/>
      <c r="H78" s="846"/>
      <c r="I78" s="846"/>
      <c r="J78" s="846"/>
      <c r="K78" s="846"/>
      <c r="L78" s="846"/>
      <c r="O78" s="164"/>
    </row>
    <row r="79" spans="1:15" ht="109.5" customHeight="1">
      <c r="A79" s="146">
        <v>47</v>
      </c>
      <c r="B79" s="860" t="s">
        <v>159</v>
      </c>
      <c r="C79" s="878" t="s">
        <v>170</v>
      </c>
      <c r="D79" s="841"/>
      <c r="E79" s="841"/>
      <c r="F79" s="841"/>
      <c r="G79" s="841"/>
      <c r="H79" s="841"/>
      <c r="I79" s="841"/>
      <c r="J79" s="841"/>
      <c r="K79" s="841"/>
      <c r="L79" s="841"/>
      <c r="O79" s="164"/>
    </row>
    <row r="80" spans="1:15" ht="28.5" customHeight="1">
      <c r="A80" s="146">
        <v>48</v>
      </c>
      <c r="B80" s="860" t="s">
        <v>160</v>
      </c>
      <c r="C80" s="878" t="s">
        <v>373</v>
      </c>
      <c r="D80" s="841"/>
      <c r="E80" s="841"/>
      <c r="F80" s="841"/>
      <c r="G80" s="841"/>
      <c r="H80" s="841"/>
      <c r="I80" s="841"/>
      <c r="J80" s="841"/>
      <c r="K80" s="841"/>
      <c r="L80" s="841"/>
      <c r="O80" s="164"/>
    </row>
    <row r="81" spans="1:15" ht="18.75" customHeight="1">
      <c r="A81" s="146">
        <v>49</v>
      </c>
      <c r="B81" s="860" t="s">
        <v>161</v>
      </c>
      <c r="C81" s="878">
        <v>7.56</v>
      </c>
      <c r="D81" s="841"/>
      <c r="E81" s="841"/>
      <c r="F81" s="841"/>
      <c r="G81" s="841"/>
      <c r="H81" s="841"/>
      <c r="I81" s="841"/>
      <c r="J81" s="841"/>
      <c r="K81" s="841"/>
      <c r="L81" s="841"/>
      <c r="O81" s="164"/>
    </row>
    <row r="82" spans="1:15" ht="17.25" customHeight="1">
      <c r="A82" s="146">
        <v>50</v>
      </c>
      <c r="B82" s="860" t="s">
        <v>162</v>
      </c>
      <c r="C82" s="878"/>
      <c r="D82" s="841"/>
      <c r="E82" s="841"/>
      <c r="F82" s="841"/>
      <c r="G82" s="841"/>
      <c r="H82" s="841"/>
      <c r="I82" s="841"/>
      <c r="J82" s="841"/>
      <c r="K82" s="841"/>
      <c r="L82" s="841"/>
      <c r="O82" s="164"/>
    </row>
    <row r="83" spans="1:15" ht="31.5" customHeight="1">
      <c r="A83" s="146">
        <v>51</v>
      </c>
      <c r="B83" s="861" t="s">
        <v>163</v>
      </c>
      <c r="C83" s="878" t="s">
        <v>378</v>
      </c>
      <c r="D83" s="850"/>
      <c r="E83" s="850"/>
      <c r="F83" s="850"/>
      <c r="G83" s="850"/>
      <c r="H83" s="850"/>
      <c r="I83" s="850"/>
      <c r="J83" s="850"/>
      <c r="K83" s="850"/>
      <c r="L83" s="850"/>
      <c r="O83" s="164"/>
    </row>
    <row r="84" spans="1:15" ht="109.5" customHeight="1">
      <c r="A84" s="146">
        <v>52</v>
      </c>
      <c r="B84" s="861" t="s">
        <v>164</v>
      </c>
      <c r="C84" s="878" t="s">
        <v>226</v>
      </c>
      <c r="D84" s="841"/>
      <c r="E84" s="841"/>
      <c r="F84" s="841"/>
      <c r="G84" s="841"/>
      <c r="H84" s="841"/>
      <c r="I84" s="841"/>
      <c r="J84" s="841"/>
      <c r="K84" s="841"/>
      <c r="L84" s="841"/>
      <c r="O84" s="164"/>
    </row>
    <row r="85" spans="1:15" ht="75" customHeight="1">
      <c r="A85" s="146">
        <v>53</v>
      </c>
      <c r="B85" s="861" t="s">
        <v>165</v>
      </c>
      <c r="C85" s="878" t="s">
        <v>227</v>
      </c>
      <c r="D85" s="841"/>
      <c r="E85" s="841"/>
      <c r="F85" s="841"/>
      <c r="G85" s="841"/>
      <c r="H85" s="841"/>
      <c r="I85" s="841"/>
      <c r="J85" s="841"/>
      <c r="K85" s="841"/>
      <c r="L85" s="841"/>
      <c r="O85" s="164"/>
    </row>
    <row r="86" spans="1:15" ht="94.5" customHeight="1">
      <c r="A86" s="146">
        <v>54</v>
      </c>
      <c r="B86" s="861" t="s">
        <v>172</v>
      </c>
      <c r="C86" s="878" t="s">
        <v>228</v>
      </c>
      <c r="D86" s="841"/>
      <c r="E86" s="841"/>
      <c r="F86" s="841"/>
      <c r="G86" s="841"/>
      <c r="H86" s="841"/>
      <c r="I86" s="841"/>
      <c r="J86" s="841"/>
      <c r="K86" s="841"/>
      <c r="L86" s="841"/>
      <c r="O86" s="164"/>
    </row>
    <row r="87" spans="1:15" ht="65.25" customHeight="1">
      <c r="A87" s="146">
        <v>55</v>
      </c>
      <c r="B87" s="861" t="s">
        <v>183</v>
      </c>
      <c r="C87" s="878" t="s">
        <v>228</v>
      </c>
      <c r="D87" s="841"/>
      <c r="E87" s="841"/>
      <c r="F87" s="841"/>
      <c r="G87" s="841"/>
      <c r="H87" s="841"/>
      <c r="I87" s="841"/>
      <c r="J87" s="841"/>
      <c r="K87" s="841"/>
      <c r="L87" s="841"/>
      <c r="O87" s="164"/>
    </row>
    <row r="88" spans="1:15" ht="77.25" customHeight="1">
      <c r="A88" s="146">
        <v>56</v>
      </c>
      <c r="B88" s="861" t="s">
        <v>173</v>
      </c>
      <c r="C88" s="878" t="s">
        <v>228</v>
      </c>
      <c r="D88" s="841"/>
      <c r="E88" s="841"/>
      <c r="F88" s="841"/>
      <c r="G88" s="841"/>
      <c r="H88" s="841"/>
      <c r="I88" s="841"/>
      <c r="J88" s="841"/>
      <c r="K88" s="841"/>
      <c r="L88" s="841"/>
      <c r="O88" s="164"/>
    </row>
    <row r="89" spans="1:15" ht="48.75" customHeight="1">
      <c r="A89" s="146">
        <v>57</v>
      </c>
      <c r="B89" s="861" t="s">
        <v>174</v>
      </c>
      <c r="C89" s="878" t="s">
        <v>228</v>
      </c>
      <c r="D89" s="841"/>
      <c r="E89" s="841"/>
      <c r="F89" s="841"/>
      <c r="G89" s="841"/>
      <c r="H89" s="841"/>
      <c r="I89" s="841"/>
      <c r="J89" s="841"/>
      <c r="K89" s="841"/>
      <c r="L89" s="841"/>
      <c r="O89" s="164"/>
    </row>
    <row r="90" spans="1:15" ht="30" customHeight="1">
      <c r="A90" s="146">
        <v>58</v>
      </c>
      <c r="B90" s="861" t="s">
        <v>184</v>
      </c>
      <c r="C90" s="878" t="s">
        <v>229</v>
      </c>
      <c r="D90" s="841"/>
      <c r="E90" s="841"/>
      <c r="F90" s="841"/>
      <c r="G90" s="841"/>
      <c r="H90" s="841"/>
      <c r="I90" s="841"/>
      <c r="J90" s="841"/>
      <c r="K90" s="841"/>
      <c r="L90" s="841"/>
      <c r="O90" s="164"/>
    </row>
    <row r="91" spans="1:16" ht="60.75" customHeight="1">
      <c r="A91" s="146">
        <v>59</v>
      </c>
      <c r="B91" s="861" t="s">
        <v>186</v>
      </c>
      <c r="C91" s="878" t="s">
        <v>230</v>
      </c>
      <c r="D91" s="841"/>
      <c r="E91" s="841"/>
      <c r="F91" s="841"/>
      <c r="G91" s="841"/>
      <c r="H91" s="841"/>
      <c r="I91" s="841"/>
      <c r="J91" s="841"/>
      <c r="K91" s="841"/>
      <c r="L91" s="841"/>
      <c r="N91" s="498"/>
      <c r="O91" s="498"/>
      <c r="P91" s="498"/>
    </row>
    <row r="92" spans="1:16" ht="33.75" customHeight="1">
      <c r="A92" s="146">
        <v>60</v>
      </c>
      <c r="B92" s="862" t="s">
        <v>187</v>
      </c>
      <c r="C92" s="878" t="s">
        <v>231</v>
      </c>
      <c r="D92" s="841"/>
      <c r="E92" s="841"/>
      <c r="F92" s="841"/>
      <c r="G92" s="841"/>
      <c r="H92" s="841"/>
      <c r="I92" s="841"/>
      <c r="J92" s="841"/>
      <c r="K92" s="841"/>
      <c r="L92" s="841"/>
      <c r="N92" s="498"/>
      <c r="O92" s="498"/>
      <c r="P92" s="498"/>
    </row>
    <row r="93" spans="1:16" ht="47.25" customHeight="1">
      <c r="A93" s="146">
        <v>61</v>
      </c>
      <c r="B93" s="862" t="s">
        <v>188</v>
      </c>
      <c r="C93" s="878" t="s">
        <v>170</v>
      </c>
      <c r="D93" s="841"/>
      <c r="E93" s="841"/>
      <c r="F93" s="841"/>
      <c r="G93" s="841"/>
      <c r="H93" s="841"/>
      <c r="I93" s="841"/>
      <c r="J93" s="841"/>
      <c r="K93" s="841"/>
      <c r="L93" s="841"/>
      <c r="N93" s="498"/>
      <c r="O93" s="498"/>
      <c r="P93" s="498"/>
    </row>
    <row r="94" spans="1:16" ht="28.5" customHeight="1">
      <c r="A94" s="146">
        <v>62</v>
      </c>
      <c r="B94" s="862" t="s">
        <v>189</v>
      </c>
      <c r="C94" s="878" t="s">
        <v>170</v>
      </c>
      <c r="D94" s="841"/>
      <c r="E94" s="841"/>
      <c r="F94" s="841"/>
      <c r="G94" s="841"/>
      <c r="H94" s="841"/>
      <c r="I94" s="841"/>
      <c r="J94" s="841"/>
      <c r="K94" s="841"/>
      <c r="L94" s="841"/>
      <c r="N94" s="498"/>
      <c r="O94" s="498"/>
      <c r="P94" s="498"/>
    </row>
    <row r="95" spans="1:16" ht="32.25" customHeight="1">
      <c r="A95" s="146">
        <v>63</v>
      </c>
      <c r="B95" s="862" t="s">
        <v>190</v>
      </c>
      <c r="C95" s="878" t="s">
        <v>170</v>
      </c>
      <c r="D95" s="841"/>
      <c r="E95" s="841"/>
      <c r="F95" s="841"/>
      <c r="G95" s="841"/>
      <c r="H95" s="841"/>
      <c r="I95" s="841"/>
      <c r="J95" s="841"/>
      <c r="K95" s="841"/>
      <c r="L95" s="841"/>
      <c r="N95" s="498"/>
      <c r="O95" s="498"/>
      <c r="P95" s="498"/>
    </row>
    <row r="96" spans="1:16" ht="16.5" customHeight="1">
      <c r="A96" s="146">
        <v>64</v>
      </c>
      <c r="B96" s="862" t="s">
        <v>191</v>
      </c>
      <c r="C96" s="878" t="s">
        <v>374</v>
      </c>
      <c r="D96" s="841"/>
      <c r="E96" s="841"/>
      <c r="F96" s="841"/>
      <c r="G96" s="841"/>
      <c r="H96" s="841"/>
      <c r="I96" s="841"/>
      <c r="J96" s="841"/>
      <c r="K96" s="841"/>
      <c r="L96" s="841"/>
      <c r="N96" s="498"/>
      <c r="O96" s="498"/>
      <c r="P96" s="498"/>
    </row>
    <row r="97" spans="1:16" ht="18" customHeight="1">
      <c r="A97" s="146"/>
      <c r="B97" s="844"/>
      <c r="C97" s="881"/>
      <c r="D97" s="841"/>
      <c r="E97" s="841"/>
      <c r="F97" s="841"/>
      <c r="G97" s="841"/>
      <c r="H97" s="841"/>
      <c r="I97" s="841"/>
      <c r="J97" s="841"/>
      <c r="K97" s="841"/>
      <c r="L97" s="841"/>
      <c r="N97" s="498"/>
      <c r="O97" s="498"/>
      <c r="P97" s="498"/>
    </row>
    <row r="98" spans="1:16" ht="27.75" customHeight="1">
      <c r="A98" s="146">
        <v>65</v>
      </c>
      <c r="B98" s="894" t="s">
        <v>434</v>
      </c>
      <c r="C98" s="881" t="s">
        <v>383</v>
      </c>
      <c r="D98" s="846"/>
      <c r="E98" s="846"/>
      <c r="F98" s="846"/>
      <c r="G98" s="846"/>
      <c r="H98" s="846"/>
      <c r="I98" s="846"/>
      <c r="J98" s="846"/>
      <c r="K98" s="846"/>
      <c r="L98" s="846"/>
      <c r="N98" s="498"/>
      <c r="O98" s="498"/>
      <c r="P98" s="498"/>
    </row>
    <row r="99" spans="1:16" ht="30.75" customHeight="1">
      <c r="A99" s="146">
        <v>66</v>
      </c>
      <c r="B99" s="895" t="s">
        <v>192</v>
      </c>
      <c r="C99" s="881"/>
      <c r="D99" s="841"/>
      <c r="E99" s="841"/>
      <c r="F99" s="841"/>
      <c r="G99" s="841"/>
      <c r="H99" s="841"/>
      <c r="I99" s="841"/>
      <c r="J99" s="841"/>
      <c r="K99" s="841"/>
      <c r="L99" s="841"/>
      <c r="N99" s="498"/>
      <c r="O99" s="498"/>
      <c r="P99" s="498"/>
    </row>
    <row r="100" spans="1:16" ht="20.25" customHeight="1">
      <c r="A100" s="146">
        <v>67</v>
      </c>
      <c r="B100" s="895" t="s">
        <v>193</v>
      </c>
      <c r="C100" s="881"/>
      <c r="D100" s="841"/>
      <c r="E100" s="841"/>
      <c r="F100" s="841"/>
      <c r="G100" s="841"/>
      <c r="H100" s="841"/>
      <c r="I100" s="841"/>
      <c r="J100" s="841"/>
      <c r="K100" s="841"/>
      <c r="L100" s="841"/>
      <c r="N100" s="498"/>
      <c r="O100" s="498"/>
      <c r="P100" s="498"/>
    </row>
    <row r="101" spans="1:16" ht="18.75" customHeight="1">
      <c r="A101" s="146">
        <v>68</v>
      </c>
      <c r="B101" s="895" t="s">
        <v>194</v>
      </c>
      <c r="C101" s="881"/>
      <c r="D101" s="841"/>
      <c r="E101" s="841"/>
      <c r="F101" s="841"/>
      <c r="G101" s="841"/>
      <c r="H101" s="841"/>
      <c r="I101" s="841"/>
      <c r="J101" s="841"/>
      <c r="K101" s="841"/>
      <c r="L101" s="841"/>
      <c r="N101" s="498"/>
      <c r="O101" s="498"/>
      <c r="P101" s="498"/>
    </row>
    <row r="102" spans="1:16" ht="33" customHeight="1">
      <c r="A102" s="146">
        <v>69</v>
      </c>
      <c r="B102" s="895" t="s">
        <v>195</v>
      </c>
      <c r="C102" s="881"/>
      <c r="D102" s="841"/>
      <c r="E102" s="841"/>
      <c r="F102" s="841"/>
      <c r="G102" s="841"/>
      <c r="H102" s="841"/>
      <c r="I102" s="841"/>
      <c r="J102" s="841"/>
      <c r="K102" s="841"/>
      <c r="L102" s="841"/>
      <c r="N102" s="498"/>
      <c r="O102" s="498"/>
      <c r="P102" s="498"/>
    </row>
    <row r="103" spans="1:16" ht="18" customHeight="1">
      <c r="A103" s="146">
        <v>70</v>
      </c>
      <c r="B103" s="895" t="s">
        <v>196</v>
      </c>
      <c r="C103" s="881"/>
      <c r="D103" s="841"/>
      <c r="E103" s="841"/>
      <c r="F103" s="841"/>
      <c r="G103" s="841"/>
      <c r="H103" s="841"/>
      <c r="I103" s="841"/>
      <c r="J103" s="841"/>
      <c r="K103" s="841"/>
      <c r="L103" s="841"/>
      <c r="N103" s="498"/>
      <c r="O103" s="498"/>
      <c r="P103" s="498"/>
    </row>
    <row r="104" spans="1:16" ht="33" customHeight="1">
      <c r="A104" s="146">
        <v>71</v>
      </c>
      <c r="B104" s="895" t="s">
        <v>197</v>
      </c>
      <c r="C104" s="881"/>
      <c r="D104" s="841"/>
      <c r="E104" s="841"/>
      <c r="F104" s="841"/>
      <c r="G104" s="841"/>
      <c r="H104" s="841"/>
      <c r="I104" s="841"/>
      <c r="J104" s="841"/>
      <c r="K104" s="841"/>
      <c r="L104" s="841"/>
      <c r="N104" s="498"/>
      <c r="O104" s="498"/>
      <c r="P104" s="498"/>
    </row>
    <row r="105" spans="1:16" ht="32.25" customHeight="1">
      <c r="A105" s="146">
        <v>72</v>
      </c>
      <c r="B105" s="895" t="s">
        <v>185</v>
      </c>
      <c r="C105" s="881"/>
      <c r="D105" s="841"/>
      <c r="E105" s="841"/>
      <c r="F105" s="841"/>
      <c r="G105" s="841"/>
      <c r="H105" s="841"/>
      <c r="I105" s="841"/>
      <c r="J105" s="841"/>
      <c r="K105" s="841"/>
      <c r="L105" s="841"/>
      <c r="N105" s="498"/>
      <c r="O105" s="498"/>
      <c r="P105" s="498"/>
    </row>
    <row r="106" spans="1:16" ht="18.75" customHeight="1">
      <c r="A106" s="146">
        <v>73</v>
      </c>
      <c r="B106" s="896" t="s">
        <v>198</v>
      </c>
      <c r="C106" s="881"/>
      <c r="D106" s="841"/>
      <c r="E106" s="841"/>
      <c r="F106" s="841"/>
      <c r="G106" s="841"/>
      <c r="H106" s="841"/>
      <c r="I106" s="841"/>
      <c r="J106" s="841"/>
      <c r="K106" s="841"/>
      <c r="L106" s="841"/>
      <c r="N106" s="498"/>
      <c r="O106" s="498"/>
      <c r="P106" s="498"/>
    </row>
    <row r="107" spans="1:16" ht="17.25" customHeight="1">
      <c r="A107" s="146">
        <v>74</v>
      </c>
      <c r="B107" s="895" t="s">
        <v>199</v>
      </c>
      <c r="C107" s="881"/>
      <c r="D107" s="841"/>
      <c r="E107" s="841"/>
      <c r="F107" s="841"/>
      <c r="G107" s="841"/>
      <c r="H107" s="841"/>
      <c r="I107" s="841"/>
      <c r="J107" s="841"/>
      <c r="K107" s="841"/>
      <c r="L107" s="841"/>
      <c r="N107" s="498"/>
      <c r="O107" s="498"/>
      <c r="P107" s="498"/>
    </row>
    <row r="108" spans="1:16" ht="20.25" customHeight="1">
      <c r="A108" s="146">
        <v>75</v>
      </c>
      <c r="B108" s="895" t="s">
        <v>200</v>
      </c>
      <c r="C108" s="881"/>
      <c r="D108" s="841"/>
      <c r="E108" s="841"/>
      <c r="F108" s="841"/>
      <c r="G108" s="841"/>
      <c r="H108" s="841"/>
      <c r="I108" s="841"/>
      <c r="J108" s="841"/>
      <c r="K108" s="841"/>
      <c r="L108" s="841"/>
      <c r="N108" s="498"/>
      <c r="O108" s="498"/>
      <c r="P108" s="498"/>
    </row>
    <row r="109" spans="1:16" ht="35.25" customHeight="1">
      <c r="A109" s="146">
        <v>76</v>
      </c>
      <c r="B109" s="895" t="s">
        <v>201</v>
      </c>
      <c r="C109" s="881"/>
      <c r="D109" s="841"/>
      <c r="E109" s="841"/>
      <c r="F109" s="841"/>
      <c r="G109" s="841"/>
      <c r="H109" s="841"/>
      <c r="I109" s="841"/>
      <c r="J109" s="841"/>
      <c r="K109" s="841"/>
      <c r="L109" s="841"/>
      <c r="N109" s="498"/>
      <c r="O109" s="498"/>
      <c r="P109" s="498"/>
    </row>
    <row r="110" spans="1:12" ht="32.25" customHeight="1">
      <c r="A110" s="146">
        <v>77</v>
      </c>
      <c r="B110" s="895" t="s">
        <v>202</v>
      </c>
      <c r="C110" s="878"/>
      <c r="D110" s="841"/>
      <c r="E110" s="841"/>
      <c r="F110" s="841"/>
      <c r="G110" s="841"/>
      <c r="H110" s="841"/>
      <c r="I110" s="841"/>
      <c r="J110" s="841"/>
      <c r="K110" s="841"/>
      <c r="L110" s="841"/>
    </row>
    <row r="111" spans="1:12" ht="15" customHeight="1">
      <c r="A111" s="146"/>
      <c r="B111" s="844"/>
      <c r="C111" s="878"/>
      <c r="D111" s="841"/>
      <c r="E111" s="841"/>
      <c r="F111" s="841"/>
      <c r="G111" s="841"/>
      <c r="H111" s="841"/>
      <c r="I111" s="841"/>
      <c r="J111" s="841"/>
      <c r="K111" s="841"/>
      <c r="L111" s="841"/>
    </row>
    <row r="112" spans="2:12" ht="27.75" customHeight="1">
      <c r="B112" s="894" t="s">
        <v>384</v>
      </c>
      <c r="C112" s="878"/>
      <c r="D112" s="846"/>
      <c r="E112" s="846"/>
      <c r="F112" s="846"/>
      <c r="G112" s="846"/>
      <c r="H112" s="846"/>
      <c r="I112" s="846"/>
      <c r="J112" s="846"/>
      <c r="K112" s="846"/>
      <c r="L112" s="846"/>
    </row>
    <row r="113" spans="1:12" ht="94.5" customHeight="1">
      <c r="A113" s="146">
        <v>78</v>
      </c>
      <c r="B113" s="861" t="s">
        <v>203</v>
      </c>
      <c r="C113" s="878"/>
      <c r="D113" s="841"/>
      <c r="E113" s="841"/>
      <c r="F113" s="841"/>
      <c r="G113" s="841"/>
      <c r="H113" s="841"/>
      <c r="I113" s="841"/>
      <c r="J113" s="841"/>
      <c r="K113" s="841"/>
      <c r="L113" s="841"/>
    </row>
    <row r="114" spans="1:12" ht="33.75" customHeight="1">
      <c r="A114" s="146">
        <v>79</v>
      </c>
      <c r="B114" s="861" t="s">
        <v>204</v>
      </c>
      <c r="C114" s="878"/>
      <c r="D114" s="841"/>
      <c r="E114" s="841"/>
      <c r="F114" s="841"/>
      <c r="G114" s="841"/>
      <c r="H114" s="841"/>
      <c r="I114" s="841"/>
      <c r="J114" s="841"/>
      <c r="K114" s="841"/>
      <c r="L114" s="841"/>
    </row>
    <row r="115" spans="1:12" ht="33.75" customHeight="1">
      <c r="A115" s="146">
        <v>80</v>
      </c>
      <c r="B115" s="861" t="s">
        <v>437</v>
      </c>
      <c r="C115" s="878"/>
      <c r="D115" s="841"/>
      <c r="E115" s="841"/>
      <c r="F115" s="841"/>
      <c r="G115" s="841"/>
      <c r="H115" s="841"/>
      <c r="I115" s="841"/>
      <c r="J115" s="841"/>
      <c r="K115" s="841"/>
      <c r="L115" s="841"/>
    </row>
    <row r="116" spans="1:12" ht="63" customHeight="1">
      <c r="A116" s="146">
        <v>81</v>
      </c>
      <c r="B116" s="862" t="s">
        <v>329</v>
      </c>
      <c r="C116" s="878"/>
      <c r="D116" s="841"/>
      <c r="E116" s="841"/>
      <c r="F116" s="841"/>
      <c r="G116" s="841"/>
      <c r="H116" s="841"/>
      <c r="I116" s="841"/>
      <c r="J116" s="841"/>
      <c r="K116" s="841"/>
      <c r="L116" s="841"/>
    </row>
    <row r="117" spans="1:12" ht="21" customHeight="1">
      <c r="A117" s="146">
        <v>82</v>
      </c>
      <c r="B117" s="862" t="s">
        <v>438</v>
      </c>
      <c r="C117" s="878"/>
      <c r="D117" s="841"/>
      <c r="E117" s="841"/>
      <c r="F117" s="841"/>
      <c r="G117" s="841"/>
      <c r="H117" s="841"/>
      <c r="I117" s="841"/>
      <c r="J117" s="841"/>
      <c r="K117" s="841"/>
      <c r="L117" s="841"/>
    </row>
    <row r="118" spans="1:12" ht="36" customHeight="1">
      <c r="A118" s="146"/>
      <c r="B118" s="844"/>
      <c r="C118" s="878"/>
      <c r="D118" s="497"/>
      <c r="E118" s="497"/>
      <c r="F118" s="497"/>
      <c r="G118" s="497"/>
      <c r="H118" s="497"/>
      <c r="I118" s="497"/>
      <c r="J118" s="497"/>
      <c r="K118" s="497"/>
      <c r="L118" s="497"/>
    </row>
    <row r="119" spans="1:12" ht="36" customHeight="1">
      <c r="A119" s="146"/>
      <c r="B119" s="844"/>
      <c r="C119" s="878"/>
      <c r="D119" s="497"/>
      <c r="E119" s="497"/>
      <c r="F119" s="497"/>
      <c r="G119" s="497"/>
      <c r="H119" s="497"/>
      <c r="I119" s="497"/>
      <c r="J119" s="497"/>
      <c r="K119" s="497"/>
      <c r="L119" s="497"/>
    </row>
    <row r="120" spans="1:12" ht="36" customHeight="1">
      <c r="A120" s="146"/>
      <c r="B120" s="844"/>
      <c r="C120" s="878"/>
      <c r="D120" s="497"/>
      <c r="E120" s="497"/>
      <c r="F120" s="497"/>
      <c r="G120" s="497"/>
      <c r="H120" s="497"/>
      <c r="I120" s="497"/>
      <c r="J120" s="497"/>
      <c r="K120" s="497"/>
      <c r="L120" s="497"/>
    </row>
    <row r="121" spans="1:12" ht="36" customHeight="1">
      <c r="A121" s="146"/>
      <c r="B121" s="844"/>
      <c r="C121" s="878"/>
      <c r="D121" s="497"/>
      <c r="E121" s="497"/>
      <c r="F121" s="497"/>
      <c r="G121" s="497"/>
      <c r="H121" s="497"/>
      <c r="I121" s="497"/>
      <c r="J121" s="497"/>
      <c r="K121" s="497"/>
      <c r="L121" s="497"/>
    </row>
    <row r="122" spans="2:12" ht="36" customHeight="1">
      <c r="B122" s="844"/>
      <c r="C122" s="878"/>
      <c r="D122" s="497"/>
      <c r="E122" s="497"/>
      <c r="F122" s="497"/>
      <c r="G122" s="497"/>
      <c r="H122" s="497"/>
      <c r="I122" s="497"/>
      <c r="J122" s="497"/>
      <c r="K122" s="497"/>
      <c r="L122" s="497"/>
    </row>
    <row r="123" spans="2:12" ht="36" customHeight="1">
      <c r="B123" s="844"/>
      <c r="C123" s="878"/>
      <c r="D123" s="497"/>
      <c r="E123" s="497"/>
      <c r="F123" s="497"/>
      <c r="G123" s="497"/>
      <c r="H123" s="497"/>
      <c r="I123" s="497"/>
      <c r="J123" s="497"/>
      <c r="K123" s="497"/>
      <c r="L123" s="497"/>
    </row>
    <row r="124" spans="2:12" ht="36" customHeight="1">
      <c r="B124" s="844"/>
      <c r="C124" s="878"/>
      <c r="D124" s="497"/>
      <c r="E124" s="497"/>
      <c r="F124" s="497"/>
      <c r="G124" s="497"/>
      <c r="H124" s="497"/>
      <c r="I124" s="497"/>
      <c r="J124" s="497"/>
      <c r="K124" s="497"/>
      <c r="L124" s="497"/>
    </row>
    <row r="125" spans="2:12" ht="36" customHeight="1">
      <c r="B125" s="844"/>
      <c r="C125" s="878"/>
      <c r="D125" s="497"/>
      <c r="E125" s="497"/>
      <c r="F125" s="497"/>
      <c r="G125" s="497"/>
      <c r="H125" s="497"/>
      <c r="I125" s="497"/>
      <c r="J125" s="497"/>
      <c r="K125" s="497"/>
      <c r="L125" s="497"/>
    </row>
    <row r="126" spans="2:12" ht="36" customHeight="1">
      <c r="B126" s="844"/>
      <c r="C126" s="878"/>
      <c r="D126" s="497"/>
      <c r="E126" s="497"/>
      <c r="F126" s="497"/>
      <c r="G126" s="497"/>
      <c r="H126" s="497"/>
      <c r="I126" s="497"/>
      <c r="J126" s="497"/>
      <c r="K126" s="497"/>
      <c r="L126" s="497"/>
    </row>
    <row r="127" spans="2:12" ht="36" customHeight="1">
      <c r="B127" s="844"/>
      <c r="C127" s="878"/>
      <c r="D127" s="497"/>
      <c r="E127" s="497"/>
      <c r="F127" s="497"/>
      <c r="G127" s="497"/>
      <c r="H127" s="497"/>
      <c r="I127" s="497"/>
      <c r="J127" s="497"/>
      <c r="K127" s="497"/>
      <c r="L127" s="497"/>
    </row>
    <row r="128" spans="2:12" ht="36" customHeight="1">
      <c r="B128" s="844"/>
      <c r="C128" s="878"/>
      <c r="D128" s="497"/>
      <c r="E128" s="497"/>
      <c r="F128" s="497"/>
      <c r="G128" s="497"/>
      <c r="H128" s="497"/>
      <c r="I128" s="497"/>
      <c r="J128" s="497"/>
      <c r="K128" s="497"/>
      <c r="L128" s="497"/>
    </row>
    <row r="129" spans="2:12" ht="36" customHeight="1">
      <c r="B129" s="844"/>
      <c r="C129" s="878"/>
      <c r="D129" s="497"/>
      <c r="E129" s="497"/>
      <c r="F129" s="497"/>
      <c r="G129" s="497"/>
      <c r="H129" s="497"/>
      <c r="I129" s="497"/>
      <c r="J129" s="497"/>
      <c r="K129" s="497"/>
      <c r="L129" s="497"/>
    </row>
    <row r="130" spans="2:12" ht="36" customHeight="1">
      <c r="B130" s="842"/>
      <c r="C130" s="878"/>
      <c r="D130" s="497"/>
      <c r="E130" s="497"/>
      <c r="F130" s="497"/>
      <c r="G130" s="497"/>
      <c r="H130" s="497"/>
      <c r="I130" s="497"/>
      <c r="J130" s="497"/>
      <c r="K130" s="497"/>
      <c r="L130" s="497"/>
    </row>
    <row r="131" spans="2:12" ht="36" customHeight="1">
      <c r="B131" s="842"/>
      <c r="C131" s="878"/>
      <c r="D131" s="497"/>
      <c r="E131" s="497"/>
      <c r="F131" s="497"/>
      <c r="G131" s="497"/>
      <c r="H131" s="497"/>
      <c r="I131" s="497"/>
      <c r="J131" s="497"/>
      <c r="K131" s="497"/>
      <c r="L131" s="497"/>
    </row>
    <row r="132" spans="2:12" ht="36" customHeight="1">
      <c r="B132" s="842"/>
      <c r="C132" s="878"/>
      <c r="D132" s="497"/>
      <c r="E132" s="497"/>
      <c r="F132" s="497"/>
      <c r="G132" s="497"/>
      <c r="H132" s="497"/>
      <c r="I132" s="497"/>
      <c r="J132" s="497"/>
      <c r="K132" s="497"/>
      <c r="L132" s="497"/>
    </row>
    <row r="133" spans="2:12" ht="36" customHeight="1">
      <c r="B133" s="842"/>
      <c r="C133" s="878"/>
      <c r="D133" s="497"/>
      <c r="E133" s="497"/>
      <c r="F133" s="497"/>
      <c r="G133" s="497"/>
      <c r="H133" s="497"/>
      <c r="I133" s="497"/>
      <c r="J133" s="497"/>
      <c r="K133" s="497"/>
      <c r="L133" s="497"/>
    </row>
    <row r="134" spans="2:12" ht="36" customHeight="1">
      <c r="B134" s="842"/>
      <c r="C134" s="878"/>
      <c r="D134" s="497"/>
      <c r="E134" s="497"/>
      <c r="F134" s="497"/>
      <c r="G134" s="497"/>
      <c r="H134" s="497"/>
      <c r="I134" s="497"/>
      <c r="J134" s="497"/>
      <c r="K134" s="497"/>
      <c r="L134" s="497"/>
    </row>
    <row r="135" spans="2:12" ht="36" customHeight="1">
      <c r="B135" s="859"/>
      <c r="C135" s="878"/>
      <c r="D135" s="497"/>
      <c r="E135" s="497"/>
      <c r="F135" s="497"/>
      <c r="G135" s="497"/>
      <c r="H135" s="497"/>
      <c r="I135" s="497"/>
      <c r="J135" s="497"/>
      <c r="K135" s="497"/>
      <c r="L135" s="497"/>
    </row>
    <row r="136" spans="2:12" ht="36" customHeight="1">
      <c r="B136" s="859"/>
      <c r="C136" s="942"/>
      <c r="D136" s="942"/>
      <c r="E136" s="942"/>
      <c r="F136" s="942"/>
      <c r="G136" s="942"/>
      <c r="H136" s="942"/>
      <c r="I136" s="942"/>
      <c r="J136" s="942"/>
      <c r="K136" s="942"/>
      <c r="L136" s="942"/>
    </row>
    <row r="137" spans="2:12" ht="36" customHeight="1">
      <c r="B137" s="859"/>
      <c r="C137" s="942"/>
      <c r="D137" s="942"/>
      <c r="E137" s="942"/>
      <c r="F137" s="942"/>
      <c r="G137" s="942"/>
      <c r="H137" s="942"/>
      <c r="I137" s="942"/>
      <c r="J137" s="942"/>
      <c r="K137" s="942"/>
      <c r="L137" s="942"/>
    </row>
    <row r="138" spans="2:12" ht="36" customHeight="1">
      <c r="B138" s="859"/>
      <c r="C138" s="942"/>
      <c r="D138" s="942"/>
      <c r="E138" s="942"/>
      <c r="F138" s="942"/>
      <c r="G138" s="942"/>
      <c r="H138" s="942"/>
      <c r="I138" s="942"/>
      <c r="J138" s="942"/>
      <c r="K138" s="942"/>
      <c r="L138" s="942"/>
    </row>
    <row r="139" spans="2:12" ht="36" customHeight="1">
      <c r="B139" s="859"/>
      <c r="C139" s="942"/>
      <c r="D139" s="942"/>
      <c r="E139" s="942"/>
      <c r="F139" s="942"/>
      <c r="G139" s="942"/>
      <c r="H139" s="942"/>
      <c r="I139" s="942"/>
      <c r="J139" s="942"/>
      <c r="K139" s="942"/>
      <c r="L139" s="942"/>
    </row>
    <row r="140" ht="36" customHeight="1">
      <c r="B140" s="859"/>
    </row>
    <row r="141" ht="36" customHeight="1">
      <c r="B141" s="859"/>
    </row>
    <row r="142" ht="36" customHeight="1">
      <c r="B142" s="859"/>
    </row>
    <row r="143" ht="36" customHeight="1">
      <c r="B143" s="859"/>
    </row>
    <row r="144" ht="15.75">
      <c r="B144" s="859"/>
    </row>
    <row r="145" ht="15.75">
      <c r="B145" s="859"/>
    </row>
    <row r="146" ht="15.75">
      <c r="B146" s="859"/>
    </row>
    <row r="147" ht="15.75">
      <c r="B147" s="859"/>
    </row>
    <row r="148" ht="15.75">
      <c r="B148" s="859"/>
    </row>
    <row r="149" ht="15.75">
      <c r="B149" s="859"/>
    </row>
    <row r="150" ht="15.75">
      <c r="B150" s="859"/>
    </row>
    <row r="151" ht="15.75">
      <c r="B151" s="859"/>
    </row>
    <row r="152" ht="15.75">
      <c r="B152" s="859"/>
    </row>
    <row r="153" ht="15.75">
      <c r="B153" s="859"/>
    </row>
    <row r="154" ht="15.75">
      <c r="B154" s="859"/>
    </row>
    <row r="155" ht="15.75">
      <c r="B155" s="859"/>
    </row>
    <row r="156" ht="15.75">
      <c r="B156" s="859"/>
    </row>
    <row r="157" ht="15.75">
      <c r="B157" s="859"/>
    </row>
    <row r="158" ht="15.75">
      <c r="B158" s="859"/>
    </row>
    <row r="159" ht="15.75">
      <c r="B159" s="859"/>
    </row>
    <row r="160" ht="15.75">
      <c r="B160" s="859"/>
    </row>
    <row r="161" ht="15.75">
      <c r="B161" s="859"/>
    </row>
    <row r="162" ht="15.75">
      <c r="B162" s="859"/>
    </row>
    <row r="163" ht="15.75">
      <c r="B163" s="859"/>
    </row>
    <row r="164" ht="15.75">
      <c r="B164" s="859"/>
    </row>
    <row r="165" ht="15.75">
      <c r="B165" s="859"/>
    </row>
    <row r="166" ht="15.75">
      <c r="B166" s="859"/>
    </row>
    <row r="167" ht="15.75">
      <c r="B167" s="859"/>
    </row>
    <row r="168" ht="15.75">
      <c r="B168" s="859"/>
    </row>
    <row r="169" ht="15.75">
      <c r="B169" s="859"/>
    </row>
    <row r="170" ht="15.75">
      <c r="B170" s="859"/>
    </row>
    <row r="171" ht="15.75">
      <c r="B171" s="859"/>
    </row>
    <row r="172" ht="15.75">
      <c r="B172" s="859"/>
    </row>
    <row r="173" ht="15.75">
      <c r="B173" s="859"/>
    </row>
    <row r="174" ht="15.75">
      <c r="B174" s="859"/>
    </row>
    <row r="175" ht="15.75">
      <c r="B175" s="859"/>
    </row>
  </sheetData>
  <sheetProtection formatCells="0" formatColumns="0" formatRows="0" insertColumns="0" insertRows="0" insertHyperlinks="0" deleteColumns="0" deleteRows="0" sort="0" autoFilter="0" pivotTables="0"/>
  <mergeCells count="4">
    <mergeCell ref="C139:L139"/>
    <mergeCell ref="C136:L136"/>
    <mergeCell ref="C137:L137"/>
    <mergeCell ref="C138:L138"/>
  </mergeCells>
  <hyperlinks>
    <hyperlink ref="A22" location="'Start Page'!A3" display="'Start Page'!A3"/>
    <hyperlink ref="A23" location="'Start Page'!A4" display="'Start Page'!A4"/>
    <hyperlink ref="A24" location="'Start Page'!A6" display="'Start Page'!A6"/>
    <hyperlink ref="A27" location="'AF Model'!A3" display="'AF Model'!A3"/>
    <hyperlink ref="A28" location="'AF model'!A16" display="'AF model'!A16"/>
    <hyperlink ref="A30" location="'AF model'!A21" display="'AF model'!A21"/>
    <hyperlink ref="A31" location="'AF model'!A22" display="'AF model'!A22"/>
    <hyperlink ref="A32" location="'AF model'!A23" display="'AF model'!A23"/>
    <hyperlink ref="A33" location="'AF model'!A25" display="'AF model'!A25"/>
    <hyperlink ref="A34" location="'AF model'!A27" display="'AF model'!A27"/>
    <hyperlink ref="A35" location="'AF model'!A29" display="'AF model'!A29"/>
    <hyperlink ref="A37" location="'AF model'!A33" display="'AF model'!A33"/>
    <hyperlink ref="A39" location="'AF model'!B34" display="'AF model'!B34"/>
    <hyperlink ref="A40" location="'AF model'!C34" display="'AF model'!C34"/>
    <hyperlink ref="A45" location="'AF model'!A48" display="'AF model'!A48"/>
    <hyperlink ref="A44" location="'AF model'!G34" display="'AF model'!G34"/>
    <hyperlink ref="A43" location="'AF model'!F34" display="'AF model'!F34"/>
    <hyperlink ref="A42" location="'AF model'!E34" display="'AF model'!E34"/>
    <hyperlink ref="A41" location="'AF model'!D34" display="'AF model'!D34"/>
    <hyperlink ref="A48" location="'RF model'!A1" display="22a"/>
    <hyperlink ref="A64" location="'AC Model'!A1" display="'AC Model'!A1"/>
    <hyperlink ref="A66" location="'AC model'!A3" display="'AC model'!A3"/>
    <hyperlink ref="A69" location="'AC model'!A12" display="'AC model'!A12"/>
    <hyperlink ref="A70" location="'AC model'!A14" display="'AC model'!A14"/>
    <hyperlink ref="A71" location="'AC model'!A15" display="'AC model'!A15"/>
    <hyperlink ref="A72" location="'AC model'!A17" display="'AC model'!A17"/>
    <hyperlink ref="A73" location="'AC model'!A18" display="'AC model'!A18"/>
    <hyperlink ref="A74" location="'AC model'!A23" display="'AC model'!A23"/>
    <hyperlink ref="A75" location="'AC model'!A28" display="'AC model'!A28"/>
    <hyperlink ref="A79" location="'MCC Model '!A9" display="'MCC Model '!A9"/>
    <hyperlink ref="A80" location="'MCC Model '!B9" display="'MCC Model '!B9"/>
    <hyperlink ref="A81" location="'MCC Model '!C9" display="'MCC Model '!C9"/>
    <hyperlink ref="A82" location="'MCC Model '!D9" display="'MCC Model '!D9"/>
    <hyperlink ref="A83" location="'MCC Model '!E9" display="'MCC Model '!E9"/>
    <hyperlink ref="A98" location="'Result Page'!A1" display="'Result Page'!A1"/>
    <hyperlink ref="A99" location="'Result Page'!A10" display="'Result Page'!A10"/>
    <hyperlink ref="A100" location="'Result Page'!A11" display="'Result Page'!A11"/>
    <hyperlink ref="A101" location="'Result Page'!A12" display="'Result Page'!A12"/>
    <hyperlink ref="A102" location="'Result Page'!A13" display="'Result Page'!A13"/>
    <hyperlink ref="A103" location="'Result Page'!A17" display="'Result Page'!A17"/>
    <hyperlink ref="A104" location="'Result Page'!A18" display="'Result Page'!A18"/>
    <hyperlink ref="A107" location="'Result Page'!A21" display="'Result Page'!A21"/>
    <hyperlink ref="A108" location="'Result Page'!A22" display="'Result Page'!A22"/>
    <hyperlink ref="A109" location="'Result Page'!A23" display="'Result Page'!A23"/>
    <hyperlink ref="A110" location="'Result Page'!A26" display="'Result Page'!A26"/>
    <hyperlink ref="A46" location="'AF model'!A10" display="'AF model'!A10"/>
    <hyperlink ref="A36" location="'AF model'!G21" display="'AF model'!G21"/>
    <hyperlink ref="A50" location="'RF model'!A3" display="'RF model'!A3"/>
    <hyperlink ref="A51" location="'RF model'!A4" display="'RF model'!A4"/>
    <hyperlink ref="A52" location="'RF model'!A5" display="'RF model'!A5"/>
    <hyperlink ref="A53" location="'RF model'!A6" display="'RF model'!A6"/>
    <hyperlink ref="A54" location="'RF model'!A14" display="'RF model'!A14"/>
    <hyperlink ref="A55" location="'RF model'!A30" display="'RF model'!A30"/>
    <hyperlink ref="A56" location="'RF model'!A33" display="'RF model'!A33"/>
    <hyperlink ref="A57" location="'RF model'!A35" display="'RF model'!A35"/>
    <hyperlink ref="A58" location="'RF model'!A36" display="'RF model'!A36"/>
    <hyperlink ref="A59" location="'RF model'!A38" display="'RF model'!A38"/>
    <hyperlink ref="A60" location="'RF model'!A39" display="'RF model'!A39"/>
    <hyperlink ref="A61" location="'RF model'!A42" display="'RF model'!A42"/>
    <hyperlink ref="A62" location="'RF model'!A48" display="'RF model'!A48"/>
    <hyperlink ref="A67" location="'AC model'!A9" display="'AC model'!A9"/>
    <hyperlink ref="A68" location="'AC model'!A9" display="'AC model'!A9"/>
    <hyperlink ref="A76" location="'AC model'!A29" display="'AC model'!A29"/>
    <hyperlink ref="A84" location="'MCC Model '!F9" display="'MCC Model '!F9"/>
    <hyperlink ref="A85" location="'MCC Model '!H9" display="'MCC Model '!H9"/>
    <hyperlink ref="A86" location="'MCC Model '!J9" display="'MCC Model '!J9"/>
    <hyperlink ref="A87" location="'MCC Model '!L9" display="'MCC Model '!L9"/>
    <hyperlink ref="A88" location="'MCC Model '!N9" display="'MCC Model '!N9"/>
    <hyperlink ref="A89" location="'MCC Model '!P9" display="'MCC Model '!P9"/>
    <hyperlink ref="A90" location="'MCC Model '!R9" display="'MCC Model '!R9"/>
    <hyperlink ref="A91" location="'MCC Model '!S9" display="'MCC Model '!S9"/>
    <hyperlink ref="A92" location="'MCC Model '!U9" display="'MCC Model '!U9"/>
    <hyperlink ref="A93" location="'MCC Model '!V9" display="'MCC Model '!V9"/>
    <hyperlink ref="A94" location="'MCC Model '!W9" display="'MCC Model '!W9"/>
    <hyperlink ref="A95" location="'MCC Model '!E8" display="'MCC Model '!E8"/>
    <hyperlink ref="A96" location="'MCC Model '!X8" display="'MCC Model '!X8"/>
    <hyperlink ref="A105" location="'Result Page'!A19" display="'Result Page'!A19"/>
    <hyperlink ref="A106" location="'Result Page'!A20" display="'Result Page'!A20"/>
    <hyperlink ref="A113" location="'Update Inflation'!F14" display="'Update Inflation'!F14"/>
    <hyperlink ref="A114" location="'Update Inflation'!C18" display="'Update Inflation'!C18"/>
    <hyperlink ref="A115" location="'Update Inflation'!D18" display="'Update Inflation'!D18"/>
    <hyperlink ref="A116" location="'Update Inflation'!C25" display="'Update Inflation'!C25"/>
    <hyperlink ref="A117" location="'Update Inflation'!D25" display="'Update Inflation'!D25"/>
  </hyperlinks>
  <printOptions gridLines="1" headings="1"/>
  <pageMargins left="0.26" right="0.23" top="0.29" bottom="0.21" header="0.2" footer="0.24"/>
  <pageSetup horizontalDpi="600" verticalDpi="600" orientation="portrait" paperSize="9" scale="65" r:id="rId2"/>
  <drawing r:id="rId1"/>
</worksheet>
</file>

<file path=xl/worksheets/sheet10.xml><?xml version="1.0" encoding="utf-8"?>
<worksheet xmlns="http://schemas.openxmlformats.org/spreadsheetml/2006/main" xmlns:r="http://schemas.openxmlformats.org/officeDocument/2006/relationships">
  <sheetPr codeName="Sheet4">
    <tabColor indexed="11"/>
  </sheetPr>
  <dimension ref="A1:M806"/>
  <sheetViews>
    <sheetView zoomScale="75" zoomScaleNormal="75" zoomScalePageLayoutView="0" workbookViewId="0" topLeftCell="C1">
      <selection activeCell="F10" sqref="F10"/>
    </sheetView>
  </sheetViews>
  <sheetFormatPr defaultColWidth="9.140625" defaultRowHeight="15"/>
  <cols>
    <col min="1" max="4" width="1.7109375" style="50" customWidth="1"/>
    <col min="5" max="5" width="79.28125" style="50" customWidth="1"/>
    <col min="6" max="6" width="20.57421875" style="130" bestFit="1" customWidth="1"/>
    <col min="7" max="7" width="21.28125" style="130" bestFit="1" customWidth="1"/>
    <col min="8" max="8" width="13.7109375" style="50" bestFit="1" customWidth="1"/>
    <col min="9" max="9" width="15.140625" style="50" customWidth="1"/>
    <col min="10" max="10" width="16.421875" style="50" customWidth="1"/>
    <col min="11" max="11" width="9.140625" style="50" customWidth="1"/>
    <col min="12" max="12" width="16.28125" style="50" customWidth="1"/>
    <col min="13" max="13" width="10.28125" style="50" customWidth="1"/>
    <col min="14" max="16384" width="9.140625" style="50" customWidth="1"/>
  </cols>
  <sheetData>
    <row r="1" spans="1:11" ht="16.5" thickBot="1">
      <c r="A1" s="53"/>
      <c r="B1" s="114"/>
      <c r="C1" s="115"/>
      <c r="D1" s="116"/>
      <c r="E1"/>
      <c r="K1" s="50" t="s">
        <v>334</v>
      </c>
    </row>
    <row r="2" spans="1:13" ht="16.5" thickBot="1">
      <c r="A2" s="45"/>
      <c r="B2" s="45"/>
      <c r="C2" s="45"/>
      <c r="D2" s="45"/>
      <c r="E2" s="698" t="s">
        <v>483</v>
      </c>
      <c r="F2" s="300" t="s">
        <v>308</v>
      </c>
      <c r="G2" s="301" t="s">
        <v>3</v>
      </c>
      <c r="L2" s="50" t="s">
        <v>338</v>
      </c>
      <c r="M2" s="50" t="s">
        <v>356</v>
      </c>
    </row>
    <row r="3" spans="1:11" ht="15" thickBot="1">
      <c r="A3" s="45"/>
      <c r="B3" s="45"/>
      <c r="C3" s="45"/>
      <c r="D3" s="45"/>
      <c r="E3" s="699" t="s">
        <v>4</v>
      </c>
      <c r="F3" s="700">
        <f>'Update Inflation'!I3</f>
        <v>101.1</v>
      </c>
      <c r="G3" s="701"/>
      <c r="H3" s="50" t="s">
        <v>355</v>
      </c>
      <c r="I3" s="55"/>
      <c r="K3" s="50" t="s">
        <v>13</v>
      </c>
    </row>
    <row r="4" spans="1:11" ht="15" thickBot="1">
      <c r="A4" s="45"/>
      <c r="B4" s="45"/>
      <c r="C4" s="45"/>
      <c r="D4" s="45"/>
      <c r="E4" s="702" t="s">
        <v>5</v>
      </c>
      <c r="F4" s="700">
        <f>'Update Inflation'!I4</f>
        <v>104.2</v>
      </c>
      <c r="G4" s="703">
        <f>$F$3/F4</f>
        <v>0.9702495201535508</v>
      </c>
      <c r="I4" s="55"/>
      <c r="K4" s="50" t="s">
        <v>14</v>
      </c>
    </row>
    <row r="5" spans="1:11" ht="15" thickBot="1">
      <c r="A5" s="45"/>
      <c r="B5" s="45"/>
      <c r="C5" s="45"/>
      <c r="D5" s="45"/>
      <c r="E5" s="702" t="s">
        <v>6</v>
      </c>
      <c r="F5" s="700">
        <f>'Update Inflation'!I5</f>
        <v>106.7</v>
      </c>
      <c r="G5" s="703">
        <f aca="true" t="shared" si="0" ref="G5:G13">$F$3/F5</f>
        <v>0.9475164011246485</v>
      </c>
      <c r="K5" s="50" t="s">
        <v>15</v>
      </c>
    </row>
    <row r="6" spans="1:11" ht="15" thickBot="1">
      <c r="A6" s="45"/>
      <c r="B6" s="45"/>
      <c r="C6" s="45"/>
      <c r="D6" s="45"/>
      <c r="E6" s="702" t="s">
        <v>7</v>
      </c>
      <c r="F6" s="700">
        <f>'Update Inflation'!I6</f>
        <v>109.8</v>
      </c>
      <c r="G6" s="703">
        <f t="shared" si="0"/>
        <v>0.9207650273224044</v>
      </c>
      <c r="K6" s="50" t="s">
        <v>335</v>
      </c>
    </row>
    <row r="7" spans="1:11" ht="15" thickBot="1">
      <c r="A7" s="45"/>
      <c r="B7" s="45"/>
      <c r="C7" s="45"/>
      <c r="D7" s="45"/>
      <c r="E7" s="702" t="s">
        <v>8</v>
      </c>
      <c r="F7" s="700">
        <f>'Update Inflation'!I7</f>
        <v>113.5</v>
      </c>
      <c r="G7" s="703">
        <f t="shared" si="0"/>
        <v>0.890748898678414</v>
      </c>
      <c r="K7" s="50" t="s">
        <v>336</v>
      </c>
    </row>
    <row r="8" spans="1:11" ht="15" thickBot="1">
      <c r="A8" s="45"/>
      <c r="B8" s="45"/>
      <c r="C8" s="45"/>
      <c r="D8" s="45"/>
      <c r="E8" s="702" t="s">
        <v>9</v>
      </c>
      <c r="F8" s="700">
        <f>'Update Inflation'!I8</f>
        <v>118.1</v>
      </c>
      <c r="G8" s="703">
        <f t="shared" si="0"/>
        <v>0.8560541913632514</v>
      </c>
      <c r="I8" s="45"/>
      <c r="K8" s="50" t="s">
        <v>337</v>
      </c>
    </row>
    <row r="9" spans="1:9" ht="15" thickBot="1">
      <c r="A9" s="45"/>
      <c r="B9" s="45"/>
      <c r="C9" s="45"/>
      <c r="D9" s="45"/>
      <c r="E9" s="702" t="s">
        <v>13</v>
      </c>
      <c r="F9" s="700">
        <f>'Update Inflation'!I9</f>
        <v>122.2</v>
      </c>
      <c r="G9" s="703">
        <f t="shared" si="0"/>
        <v>0.8273322422258592</v>
      </c>
      <c r="H9" s="302" t="s">
        <v>309</v>
      </c>
      <c r="I9" s="45"/>
    </row>
    <row r="10" spans="1:9" ht="15" thickBot="1">
      <c r="A10" s="45"/>
      <c r="B10" s="45"/>
      <c r="C10" s="45"/>
      <c r="D10" s="45"/>
      <c r="E10" s="702" t="s">
        <v>14</v>
      </c>
      <c r="F10" s="700">
        <f>'Update Inflation'!I10</f>
        <v>125.6</v>
      </c>
      <c r="G10" s="703">
        <f t="shared" si="0"/>
        <v>0.8049363057324841</v>
      </c>
      <c r="H10" s="299"/>
      <c r="I10" s="45"/>
    </row>
    <row r="11" spans="1:9" ht="15" thickBot="1">
      <c r="A11" s="45"/>
      <c r="B11" s="45"/>
      <c r="C11" s="45"/>
      <c r="D11" s="45"/>
      <c r="E11" s="702" t="s">
        <v>15</v>
      </c>
      <c r="F11" s="734">
        <f>'Update Inflation'!I11</f>
        <v>128.4888</v>
      </c>
      <c r="G11" s="704">
        <f t="shared" si="0"/>
        <v>0.7868390085361525</v>
      </c>
      <c r="I11" s="45"/>
    </row>
    <row r="12" spans="1:11" ht="15.75" thickBot="1">
      <c r="A12" s="45"/>
      <c r="B12" s="45"/>
      <c r="C12" s="45"/>
      <c r="D12" s="45"/>
      <c r="E12" s="702" t="s">
        <v>335</v>
      </c>
      <c r="F12" s="734">
        <f>'Update Inflation'!I12</f>
        <v>130.9300872</v>
      </c>
      <c r="G12" s="704">
        <f t="shared" si="0"/>
        <v>0.77216781995697</v>
      </c>
      <c r="H12" s="45"/>
      <c r="K12" s="695" t="s">
        <v>339</v>
      </c>
    </row>
    <row r="13" spans="1:11" ht="15" thickBot="1">
      <c r="A13" s="45"/>
      <c r="B13" s="45"/>
      <c r="C13" s="45"/>
      <c r="D13" s="45"/>
      <c r="E13" s="705" t="s">
        <v>336</v>
      </c>
      <c r="F13" s="735">
        <f>'Update Inflation'!I13</f>
        <v>133.2868287696</v>
      </c>
      <c r="G13" s="706">
        <f t="shared" si="0"/>
        <v>0.758514557914509</v>
      </c>
      <c r="K13" s="50" t="s">
        <v>340</v>
      </c>
    </row>
    <row r="14" spans="1:4" ht="15" thickBot="1">
      <c r="A14" s="45"/>
      <c r="B14" s="45"/>
      <c r="C14" s="45"/>
      <c r="D14" s="45"/>
    </row>
    <row r="15" spans="1:11" ht="15.75" thickBot="1">
      <c r="A15" s="45"/>
      <c r="B15" s="45"/>
      <c r="C15" s="45"/>
      <c r="D15" s="45"/>
      <c r="E15" s="54" t="s">
        <v>10</v>
      </c>
      <c r="G15" s="697"/>
      <c r="K15" s="50" t="s">
        <v>341</v>
      </c>
    </row>
    <row r="16" spans="1:7" ht="14.25">
      <c r="A16" s="45"/>
      <c r="B16" s="45"/>
      <c r="C16" s="45"/>
      <c r="D16" s="45"/>
      <c r="E16" s="57" t="s">
        <v>11</v>
      </c>
      <c r="G16" s="696"/>
    </row>
    <row r="17" spans="1:11" ht="15" thickBot="1">
      <c r="A17" s="45"/>
      <c r="B17" s="45"/>
      <c r="C17" s="45"/>
      <c r="D17" s="45"/>
      <c r="E17" s="58" t="s">
        <v>12</v>
      </c>
      <c r="G17" s="696"/>
      <c r="K17" s="302" t="s">
        <v>309</v>
      </c>
    </row>
    <row r="18" spans="1:11" ht="14.25">
      <c r="A18" s="45"/>
      <c r="B18" s="45"/>
      <c r="C18" s="45"/>
      <c r="D18" s="45"/>
      <c r="F18" s="131"/>
      <c r="G18" s="696"/>
      <c r="K18" s="50" t="s">
        <v>357</v>
      </c>
    </row>
    <row r="19" spans="1:7" ht="15" thickBot="1">
      <c r="A19" s="45"/>
      <c r="B19" s="45"/>
      <c r="C19" s="45"/>
      <c r="D19" s="45"/>
      <c r="G19" s="696"/>
    </row>
    <row r="20" spans="1:11" ht="15.75" thickBot="1">
      <c r="A20" s="45"/>
      <c r="B20" s="45"/>
      <c r="C20" s="45"/>
      <c r="D20" s="45"/>
      <c r="E20" s="48" t="s">
        <v>212</v>
      </c>
      <c r="G20" s="696"/>
      <c r="K20" s="694"/>
    </row>
    <row r="21" spans="1:7" ht="14.25">
      <c r="A21" s="45"/>
      <c r="B21" s="45"/>
      <c r="C21" s="45"/>
      <c r="D21" s="45"/>
      <c r="E21" s="56" t="s">
        <v>29</v>
      </c>
      <c r="G21" s="49"/>
    </row>
    <row r="22" spans="1:7" ht="15" thickBot="1">
      <c r="A22" s="45"/>
      <c r="B22" s="45"/>
      <c r="C22" s="45"/>
      <c r="D22" s="45"/>
      <c r="E22" s="59" t="s">
        <v>30</v>
      </c>
      <c r="G22" s="49"/>
    </row>
    <row r="23" spans="1:4" ht="14.25">
      <c r="A23" s="45"/>
      <c r="B23" s="45"/>
      <c r="C23" s="45"/>
      <c r="D23" s="45"/>
    </row>
    <row r="24" spans="1:5" ht="15.75" thickBot="1">
      <c r="A24" s="45"/>
      <c r="B24" s="45"/>
      <c r="C24" s="45"/>
      <c r="D24" s="45"/>
      <c r="E24"/>
    </row>
    <row r="25" spans="1:7" ht="16.5" thickBot="1">
      <c r="A25" s="45"/>
      <c r="B25" s="45"/>
      <c r="C25" s="45"/>
      <c r="D25" s="45"/>
      <c r="E25" s="128" t="s">
        <v>75</v>
      </c>
      <c r="F25" s="132" t="s">
        <v>20</v>
      </c>
      <c r="G25" s="133" t="s">
        <v>12</v>
      </c>
    </row>
    <row r="26" spans="1:7" ht="14.25">
      <c r="A26" s="45"/>
      <c r="B26" s="45"/>
      <c r="C26" s="45"/>
      <c r="D26" s="45"/>
      <c r="E26" s="44" t="s">
        <v>76</v>
      </c>
      <c r="F26" s="134">
        <v>0.36</v>
      </c>
      <c r="G26" s="135">
        <v>0.5</v>
      </c>
    </row>
    <row r="27" spans="1:7" ht="14.25">
      <c r="A27" s="45"/>
      <c r="B27" s="45"/>
      <c r="C27" s="45"/>
      <c r="D27" s="45"/>
      <c r="E27" s="44" t="s">
        <v>117</v>
      </c>
      <c r="F27" s="183">
        <v>70.91095959834074</v>
      </c>
      <c r="G27" s="135">
        <v>51.55992864148896</v>
      </c>
    </row>
    <row r="28" spans="1:7" ht="14.25">
      <c r="A28" s="45"/>
      <c r="B28" s="45"/>
      <c r="C28" s="45"/>
      <c r="D28" s="45"/>
      <c r="E28" s="44" t="s">
        <v>118</v>
      </c>
      <c r="F28" s="185">
        <v>72.65802437379894</v>
      </c>
      <c r="G28" s="135">
        <v>58.505377241624366</v>
      </c>
    </row>
    <row r="29" spans="1:7" ht="14.25">
      <c r="A29" s="45"/>
      <c r="B29" s="45"/>
      <c r="C29" s="45"/>
      <c r="D29" s="45"/>
      <c r="E29" s="44" t="s">
        <v>205</v>
      </c>
      <c r="F29" s="134">
        <v>0.9417645074847266</v>
      </c>
      <c r="G29" s="135">
        <v>0.7684850466621529</v>
      </c>
    </row>
    <row r="30" spans="1:7" ht="14.25">
      <c r="A30" s="45"/>
      <c r="B30" s="45"/>
      <c r="C30" s="45"/>
      <c r="D30" s="45"/>
      <c r="E30" s="44" t="s">
        <v>74</v>
      </c>
      <c r="F30" s="134">
        <v>100</v>
      </c>
      <c r="G30" s="135">
        <v>100</v>
      </c>
    </row>
    <row r="31" spans="1:7" ht="14.25">
      <c r="A31" s="45"/>
      <c r="B31" s="45"/>
      <c r="C31" s="45"/>
      <c r="D31" s="45"/>
      <c r="E31" s="118" t="s">
        <v>72</v>
      </c>
      <c r="F31" s="186">
        <v>0.7231994447642991</v>
      </c>
      <c r="G31" s="187">
        <v>0.6405559600266673</v>
      </c>
    </row>
    <row r="32" spans="1:7" ht="14.25">
      <c r="A32" s="45"/>
      <c r="B32" s="45"/>
      <c r="C32" s="45"/>
      <c r="D32" s="45"/>
      <c r="E32" s="44" t="s">
        <v>73</v>
      </c>
      <c r="F32" s="185">
        <v>-0.6686907727926004</v>
      </c>
      <c r="G32" s="187">
        <v>-0.8356666825757737</v>
      </c>
    </row>
    <row r="33" spans="1:7" ht="16.5" customHeight="1" thickBot="1">
      <c r="A33" s="45"/>
      <c r="B33" s="45"/>
      <c r="C33" s="45"/>
      <c r="D33" s="45"/>
      <c r="E33" s="46" t="s">
        <v>77</v>
      </c>
      <c r="F33" s="136">
        <v>-0.5140157734077605</v>
      </c>
      <c r="G33" s="137">
        <v>-0.6702574912646267</v>
      </c>
    </row>
    <row r="34" spans="1:7" ht="15" thickBot="1">
      <c r="A34" s="45"/>
      <c r="B34" s="45"/>
      <c r="C34" s="45"/>
      <c r="D34" s="45"/>
      <c r="E34" s="45"/>
      <c r="F34" s="189"/>
      <c r="G34" s="189"/>
    </row>
    <row r="35" spans="1:7" ht="15.75" thickBot="1">
      <c r="A35" s="45"/>
      <c r="B35" s="45"/>
      <c r="C35" s="45"/>
      <c r="D35" s="45"/>
      <c r="E35" s="194" t="s">
        <v>245</v>
      </c>
      <c r="F35" s="195" t="s">
        <v>20</v>
      </c>
      <c r="G35" s="196" t="s">
        <v>12</v>
      </c>
    </row>
    <row r="36" spans="1:8" ht="15" thickBot="1">
      <c r="A36" s="45"/>
      <c r="B36" s="45"/>
      <c r="C36" s="45"/>
      <c r="D36" s="45"/>
      <c r="E36" s="46" t="s">
        <v>313</v>
      </c>
      <c r="F36" s="827">
        <v>0.2581668535738979</v>
      </c>
      <c r="G36" s="193">
        <v>0.20202440625908258</v>
      </c>
      <c r="H36" s="50" t="s">
        <v>310</v>
      </c>
    </row>
    <row r="37" spans="1:4" ht="14.25">
      <c r="A37" s="45"/>
      <c r="B37" s="45"/>
      <c r="C37" s="45"/>
      <c r="D37" s="45"/>
    </row>
    <row r="38" spans="1:4" ht="14.25">
      <c r="A38" s="45"/>
      <c r="B38" s="45"/>
      <c r="C38" s="45"/>
      <c r="D38" s="45"/>
    </row>
    <row r="39" spans="1:4" ht="15" thickBot="1">
      <c r="A39" s="45"/>
      <c r="B39" s="45"/>
      <c r="C39" s="45"/>
      <c r="D39" s="45"/>
    </row>
    <row r="40" spans="1:7" ht="16.5" thickBot="1">
      <c r="A40" s="45"/>
      <c r="B40" s="45"/>
      <c r="C40" s="45"/>
      <c r="D40" s="45"/>
      <c r="E40" s="994" t="s">
        <v>254</v>
      </c>
      <c r="F40" s="995"/>
      <c r="G40" s="996"/>
    </row>
    <row r="41" spans="1:7" ht="15">
      <c r="A41" s="45"/>
      <c r="B41" s="45"/>
      <c r="C41" s="45"/>
      <c r="D41" s="45"/>
      <c r="E41" s="61"/>
      <c r="F41" s="120"/>
      <c r="G41" s="138"/>
    </row>
    <row r="42" spans="1:7" ht="15">
      <c r="A42" s="45"/>
      <c r="B42" s="45"/>
      <c r="C42" s="45"/>
      <c r="D42" s="45"/>
      <c r="E42" s="61" t="s">
        <v>249</v>
      </c>
      <c r="F42" s="120"/>
      <c r="G42" s="139">
        <f>'RF model'!C6</f>
        <v>1.5163681375304474</v>
      </c>
    </row>
    <row r="43" spans="1:7" ht="15">
      <c r="A43" s="45"/>
      <c r="B43" s="45"/>
      <c r="C43" s="45"/>
      <c r="D43" s="45"/>
      <c r="E43" s="61" t="s">
        <v>468</v>
      </c>
      <c r="F43" s="120"/>
      <c r="G43" s="139">
        <f>G42*VLOOKUP('Start Page'!G4,$E$3:$G$13,3,TRUE)</f>
        <v>1.2205797667542058</v>
      </c>
    </row>
    <row r="44" spans="1:7" ht="15">
      <c r="A44" s="45"/>
      <c r="B44" s="45"/>
      <c r="C44" s="45"/>
      <c r="D44" s="45"/>
      <c r="E44" s="61" t="s">
        <v>311</v>
      </c>
      <c r="F44" s="120"/>
      <c r="G44" s="197">
        <f>'RF model'!C30</f>
        <v>0</v>
      </c>
    </row>
    <row r="45" spans="1:7" ht="15">
      <c r="A45" s="45"/>
      <c r="B45" s="45"/>
      <c r="C45" s="45"/>
      <c r="D45" s="45"/>
      <c r="E45" s="61" t="s">
        <v>214</v>
      </c>
      <c r="F45" s="120"/>
      <c r="G45" s="139">
        <f>G42/(1+G44)</f>
        <v>1.5163681375304474</v>
      </c>
    </row>
    <row r="46" spans="1:7" ht="15.75" thickBot="1">
      <c r="A46" s="45"/>
      <c r="B46" s="45"/>
      <c r="C46" s="45"/>
      <c r="D46" s="45"/>
      <c r="E46" s="61" t="s">
        <v>213</v>
      </c>
      <c r="F46" s="120"/>
      <c r="G46" s="139">
        <f>G43/G45</f>
        <v>0.8049363057324841</v>
      </c>
    </row>
    <row r="47" spans="1:7" ht="16.5" thickBot="1">
      <c r="A47" s="45"/>
      <c r="B47" s="45"/>
      <c r="C47" s="45"/>
      <c r="D47" s="45"/>
      <c r="E47" s="207" t="s">
        <v>16</v>
      </c>
      <c r="F47" s="208"/>
      <c r="G47" s="209">
        <f>IF('Start Page'!G3="Non-PTE",EXP(G32*(G46^G31)),(EXP(F32*(G46^F31))))</f>
        <v>0.5646362648298121</v>
      </c>
    </row>
    <row r="48" spans="1:4" ht="14.25">
      <c r="A48" s="45"/>
      <c r="B48" s="45"/>
      <c r="C48" s="45"/>
      <c r="D48" s="45"/>
    </row>
    <row r="49" spans="1:4" ht="14.25">
      <c r="A49" s="45"/>
      <c r="B49" s="45"/>
      <c r="C49" s="45"/>
      <c r="D49" s="45"/>
    </row>
    <row r="50" spans="1:8" ht="16.5" thickBot="1">
      <c r="A50" s="45"/>
      <c r="B50" s="45"/>
      <c r="C50" s="45"/>
      <c r="D50" s="45"/>
      <c r="H50" s="117"/>
    </row>
    <row r="51" spans="1:8" ht="16.5" thickBot="1">
      <c r="A51" s="45"/>
      <c r="B51" s="45"/>
      <c r="C51" s="45"/>
      <c r="D51" s="45"/>
      <c r="E51" s="128" t="s">
        <v>253</v>
      </c>
      <c r="F51" s="205"/>
      <c r="G51" s="206"/>
      <c r="H51" s="53"/>
    </row>
    <row r="52" spans="1:8" ht="14.25">
      <c r="A52" s="45"/>
      <c r="B52" s="45"/>
      <c r="C52" s="45"/>
      <c r="D52" s="45"/>
      <c r="E52" s="44"/>
      <c r="F52" s="201"/>
      <c r="G52" s="202"/>
      <c r="H52" s="53"/>
    </row>
    <row r="53" spans="1:8" ht="14.25">
      <c r="A53" s="45"/>
      <c r="B53" s="45"/>
      <c r="C53" s="45"/>
      <c r="D53" s="45"/>
      <c r="E53" s="44" t="s">
        <v>249</v>
      </c>
      <c r="F53" s="201"/>
      <c r="G53" s="203">
        <f>'RF model'!C6</f>
        <v>1.5163681375304474</v>
      </c>
      <c r="H53" s="53"/>
    </row>
    <row r="54" spans="1:8" ht="14.25">
      <c r="A54" s="45"/>
      <c r="B54" s="45"/>
      <c r="C54" s="45"/>
      <c r="D54" s="45"/>
      <c r="E54" s="44" t="s">
        <v>250</v>
      </c>
      <c r="F54" s="201"/>
      <c r="G54" s="204">
        <f>G53*VLOOKUP('Start Page'!G4,$E$3:$G$13,3,TRUE)</f>
        <v>1.2205797667542058</v>
      </c>
      <c r="H54" s="53"/>
    </row>
    <row r="55" spans="1:8" ht="14.25">
      <c r="A55" s="45"/>
      <c r="B55" s="45"/>
      <c r="C55" s="45"/>
      <c r="D55" s="45"/>
      <c r="E55" s="44" t="s">
        <v>313</v>
      </c>
      <c r="F55" s="201"/>
      <c r="G55" s="202">
        <f>'RF model'!C35</f>
        <v>0</v>
      </c>
      <c r="H55" s="53"/>
    </row>
    <row r="56" spans="1:8" ht="14.25">
      <c r="A56" s="45"/>
      <c r="B56" s="45"/>
      <c r="C56" s="45"/>
      <c r="D56" s="45"/>
      <c r="E56" s="44" t="s">
        <v>99</v>
      </c>
      <c r="F56" s="201"/>
      <c r="G56" s="202">
        <f>'RF model'!C36</f>
        <v>0</v>
      </c>
      <c r="H56" s="53"/>
    </row>
    <row r="57" spans="1:8" ht="14.25">
      <c r="A57" s="45"/>
      <c r="B57" s="45"/>
      <c r="C57" s="45"/>
      <c r="D57" s="45"/>
      <c r="E57" s="44" t="s">
        <v>314</v>
      </c>
      <c r="F57" s="201"/>
      <c r="G57" s="202">
        <f>((1+G55)*(1+G56)-1)</f>
        <v>0</v>
      </c>
      <c r="H57" s="53"/>
    </row>
    <row r="58" spans="1:8" ht="14.25">
      <c r="A58" s="45"/>
      <c r="B58" s="45"/>
      <c r="C58" s="45"/>
      <c r="D58" s="45"/>
      <c r="E58" s="44" t="s">
        <v>214</v>
      </c>
      <c r="F58" s="201"/>
      <c r="G58" s="203">
        <f>G53/(1+G57)</f>
        <v>1.5163681375304474</v>
      </c>
      <c r="H58" s="53"/>
    </row>
    <row r="59" spans="1:8" ht="15" thickBot="1">
      <c r="A59" s="45"/>
      <c r="B59" s="45"/>
      <c r="C59" s="45"/>
      <c r="D59" s="45"/>
      <c r="E59" s="44" t="s">
        <v>255</v>
      </c>
      <c r="F59" s="201"/>
      <c r="G59" s="203">
        <f>G54/G58</f>
        <v>0.8049363057324841</v>
      </c>
      <c r="H59" s="53"/>
    </row>
    <row r="60" spans="1:9" ht="16.5" thickBot="1">
      <c r="A60" s="45"/>
      <c r="B60" s="45"/>
      <c r="C60" s="45"/>
      <c r="D60" s="45"/>
      <c r="E60" s="207" t="s">
        <v>16</v>
      </c>
      <c r="F60" s="210"/>
      <c r="G60" s="428">
        <f>IF('Start Page'!G3="Non-PTE",EXP(G32*(G59^G31)),EXP(F32*(G59^F31)))</f>
        <v>0.5646362648298121</v>
      </c>
      <c r="H60" s="53"/>
      <c r="I60" s="905"/>
    </row>
    <row r="61" spans="1:8" ht="14.25">
      <c r="A61" s="45"/>
      <c r="B61" s="45"/>
      <c r="C61" s="45"/>
      <c r="D61" s="45"/>
      <c r="H61" s="53"/>
    </row>
    <row r="62" spans="1:8" ht="14.25">
      <c r="A62" s="45"/>
      <c r="B62" s="45"/>
      <c r="C62" s="45"/>
      <c r="D62" s="45"/>
      <c r="F62" s="188"/>
      <c r="G62" s="188"/>
      <c r="H62" s="53"/>
    </row>
    <row r="63" spans="1:8" ht="15" thickBot="1">
      <c r="A63" s="45"/>
      <c r="B63" s="45"/>
      <c r="C63" s="45"/>
      <c r="D63" s="45"/>
      <c r="F63" s="188"/>
      <c r="G63" s="188"/>
      <c r="H63" s="53"/>
    </row>
    <row r="64" spans="1:8" ht="16.5" thickBot="1">
      <c r="A64" s="45"/>
      <c r="B64" s="45"/>
      <c r="C64" s="45"/>
      <c r="D64" s="45"/>
      <c r="E64" s="994" t="s">
        <v>247</v>
      </c>
      <c r="F64" s="995"/>
      <c r="G64" s="996"/>
      <c r="H64" s="53"/>
    </row>
    <row r="65" spans="1:8" ht="15">
      <c r="A65" s="45"/>
      <c r="B65" s="45"/>
      <c r="C65" s="45"/>
      <c r="D65" s="45"/>
      <c r="E65" s="44"/>
      <c r="F65" s="154"/>
      <c r="G65" s="190"/>
      <c r="H65" s="53"/>
    </row>
    <row r="66" spans="1:8" ht="15">
      <c r="A66" s="45"/>
      <c r="B66" s="45"/>
      <c r="C66" s="45"/>
      <c r="D66" s="45"/>
      <c r="E66" s="61" t="s">
        <v>248</v>
      </c>
      <c r="F66" s="49"/>
      <c r="G66" s="198">
        <f>'RF model'!C6</f>
        <v>1.5163681375304474</v>
      </c>
      <c r="H66" s="53"/>
    </row>
    <row r="67" spans="1:8" ht="15">
      <c r="A67" s="45"/>
      <c r="B67" s="45"/>
      <c r="C67" s="45"/>
      <c r="D67" s="45"/>
      <c r="E67" s="61" t="s">
        <v>250</v>
      </c>
      <c r="F67" s="49"/>
      <c r="G67" s="198">
        <f>G66*VLOOKUP('Start Page'!$G$4,$E$3:$G$13,3,TRUE)</f>
        <v>1.2205797667542058</v>
      </c>
      <c r="H67" s="53"/>
    </row>
    <row r="68" spans="1:9" ht="15.75">
      <c r="A68" s="45"/>
      <c r="B68" s="45"/>
      <c r="C68" s="45"/>
      <c r="D68" s="45"/>
      <c r="E68" s="191" t="s">
        <v>354</v>
      </c>
      <c r="F68" s="49"/>
      <c r="G68" s="198">
        <f>IF('Start Page'!G3="Non-PTE",G36,F36)</f>
        <v>0.2581668535738979</v>
      </c>
      <c r="H68" s="51"/>
      <c r="I68" s="904"/>
    </row>
    <row r="69" spans="1:8" ht="15.75">
      <c r="A69" s="45"/>
      <c r="B69" s="45"/>
      <c r="C69" s="45"/>
      <c r="D69" s="45"/>
      <c r="E69" s="192" t="s">
        <v>100</v>
      </c>
      <c r="F69" s="49"/>
      <c r="G69" s="198">
        <f>'RF model'!C39</f>
        <v>0</v>
      </c>
      <c r="H69" s="51"/>
    </row>
    <row r="70" spans="1:8" ht="15.75">
      <c r="A70" s="45"/>
      <c r="B70" s="45"/>
      <c r="C70" s="45"/>
      <c r="D70" s="45"/>
      <c r="E70" s="192" t="s">
        <v>246</v>
      </c>
      <c r="F70" s="49"/>
      <c r="G70" s="198">
        <f>((G68+1)*(G69+1)-1)</f>
        <v>0.2581668535738979</v>
      </c>
      <c r="H70" s="51"/>
    </row>
    <row r="71" spans="1:11" ht="15.75">
      <c r="A71" s="45"/>
      <c r="B71" s="45"/>
      <c r="C71" s="45"/>
      <c r="D71" s="45"/>
      <c r="E71" s="191" t="s">
        <v>251</v>
      </c>
      <c r="F71" s="49"/>
      <c r="G71" s="198">
        <f>G66/(1+G70)</f>
        <v>1.2052202243471233</v>
      </c>
      <c r="H71" s="51"/>
      <c r="K71" s="60"/>
    </row>
    <row r="72" spans="1:8" ht="16.5" thickBot="1">
      <c r="A72" s="45"/>
      <c r="B72" s="45"/>
      <c r="C72" s="45"/>
      <c r="D72" s="45"/>
      <c r="E72" s="191" t="s">
        <v>252</v>
      </c>
      <c r="F72" s="49"/>
      <c r="G72" s="198">
        <f>G67/G71</f>
        <v>1.0127441791108367</v>
      </c>
      <c r="H72" s="51"/>
    </row>
    <row r="73" spans="1:9" ht="16.5" thickBot="1">
      <c r="A73" s="45"/>
      <c r="B73" s="45"/>
      <c r="C73" s="45"/>
      <c r="D73" s="45"/>
      <c r="E73" s="199" t="s">
        <v>16</v>
      </c>
      <c r="F73" s="200"/>
      <c r="G73" s="220">
        <f>IF('Start Page'!$G$3="Non-PTE",EXP($G$32*(G72^$G$31)),EXP($F$32*(G72^$F$31)))</f>
        <v>0.5092363618212327</v>
      </c>
      <c r="H73"/>
      <c r="I73"/>
    </row>
    <row r="74" spans="1:8" ht="15.75">
      <c r="A74" s="45"/>
      <c r="B74" s="45"/>
      <c r="C74" s="45"/>
      <c r="D74" s="45"/>
      <c r="E74" s="152"/>
      <c r="F74" s="154"/>
      <c r="G74" s="129"/>
      <c r="H74" s="51"/>
    </row>
    <row r="75" spans="1:8" ht="15.75">
      <c r="A75" s="45"/>
      <c r="B75" s="45"/>
      <c r="C75" s="45"/>
      <c r="D75" s="45"/>
      <c r="E75" s="152"/>
      <c r="F75" s="154"/>
      <c r="G75" s="155"/>
      <c r="H75" s="51"/>
    </row>
    <row r="76" spans="1:8" ht="16.5" thickBot="1">
      <c r="A76" s="45"/>
      <c r="B76" s="45"/>
      <c r="C76" s="45"/>
      <c r="D76" s="45"/>
      <c r="E76" s="152"/>
      <c r="F76" s="154"/>
      <c r="G76" s="155"/>
      <c r="H76" s="51"/>
    </row>
    <row r="77" spans="1:8" ht="16.5" thickBot="1">
      <c r="A77" s="45"/>
      <c r="B77" s="45"/>
      <c r="C77" s="45"/>
      <c r="D77" s="45"/>
      <c r="E77" s="350" t="s">
        <v>315</v>
      </c>
      <c r="F77" s="195"/>
      <c r="G77" s="196"/>
      <c r="H77" s="51"/>
    </row>
    <row r="78" spans="1:8" ht="15.75">
      <c r="A78" s="45"/>
      <c r="B78" s="45"/>
      <c r="C78" s="45"/>
      <c r="D78" s="45"/>
      <c r="E78" s="191"/>
      <c r="F78" s="154"/>
      <c r="G78" s="190"/>
      <c r="H78" s="51"/>
    </row>
    <row r="79" spans="1:8" ht="15.75">
      <c r="A79" s="45"/>
      <c r="B79" s="45"/>
      <c r="C79" s="45"/>
      <c r="D79" s="45"/>
      <c r="E79" s="191" t="s">
        <v>249</v>
      </c>
      <c r="F79" s="154"/>
      <c r="G79" s="198">
        <f>'RF model'!C6</f>
        <v>1.5163681375304474</v>
      </c>
      <c r="H79" s="51"/>
    </row>
    <row r="80" spans="1:8" ht="15.75">
      <c r="A80" s="45"/>
      <c r="B80" s="45"/>
      <c r="C80" s="45"/>
      <c r="D80" s="45"/>
      <c r="E80" s="191" t="s">
        <v>250</v>
      </c>
      <c r="F80" s="154"/>
      <c r="G80" s="198">
        <f>G79*VLOOKUP('Start Page'!$G$4,$E$3:$G$13,3,TRUE)</f>
        <v>1.2205797667542058</v>
      </c>
      <c r="H80" s="51"/>
    </row>
    <row r="81" spans="1:8" ht="15.75">
      <c r="A81" s="45"/>
      <c r="B81" s="45"/>
      <c r="C81" s="45"/>
      <c r="D81" s="45"/>
      <c r="E81" s="191" t="s">
        <v>316</v>
      </c>
      <c r="F81" s="154"/>
      <c r="G81" s="197">
        <f>'RF model'!C48</f>
        <v>0</v>
      </c>
      <c r="H81" s="51"/>
    </row>
    <row r="82" spans="1:8" ht="15.75">
      <c r="A82" s="45"/>
      <c r="B82" s="45"/>
      <c r="C82" s="45"/>
      <c r="D82" s="45"/>
      <c r="E82" s="191" t="s">
        <v>251</v>
      </c>
      <c r="F82" s="154"/>
      <c r="G82" s="198">
        <f>G79/(1+G81)</f>
        <v>1.5163681375304474</v>
      </c>
      <c r="H82" s="51"/>
    </row>
    <row r="83" spans="1:8" ht="15.75" thickBot="1">
      <c r="A83" s="45"/>
      <c r="B83" s="45"/>
      <c r="C83" s="45"/>
      <c r="D83" s="45"/>
      <c r="E83" s="191" t="s">
        <v>252</v>
      </c>
      <c r="F83" s="119"/>
      <c r="G83" s="198">
        <f>G80/G82</f>
        <v>0.8049363057324841</v>
      </c>
      <c r="H83" s="53"/>
    </row>
    <row r="84" spans="1:8" ht="16.5" thickBot="1">
      <c r="A84" s="45"/>
      <c r="B84" s="45"/>
      <c r="C84" s="45"/>
      <c r="D84" s="45"/>
      <c r="E84" s="199" t="s">
        <v>16</v>
      </c>
      <c r="F84" s="208"/>
      <c r="G84" s="220">
        <f>IF('Start Page'!$G$3="Non-PTE",EXP($G$32*(G83^$G$31)),EXP($F$32*(G83^$F$31)))</f>
        <v>0.5646362648298121</v>
      </c>
      <c r="H84" s="150"/>
    </row>
    <row r="85" spans="1:8" ht="15.75">
      <c r="A85" s="45"/>
      <c r="B85" s="45"/>
      <c r="C85" s="45"/>
      <c r="D85" s="45"/>
      <c r="E85" s="151"/>
      <c r="F85" s="154"/>
      <c r="G85" s="154"/>
      <c r="H85" s="154"/>
    </row>
    <row r="86" spans="1:8" ht="15">
      <c r="A86" s="45"/>
      <c r="B86" s="45"/>
      <c r="C86" s="45"/>
      <c r="D86" s="45"/>
      <c r="E86" s="150"/>
      <c r="F86" s="154"/>
      <c r="G86" s="154"/>
      <c r="H86" s="157"/>
    </row>
    <row r="87" spans="1:8" ht="15">
      <c r="A87" s="45"/>
      <c r="B87" s="45"/>
      <c r="C87" s="45"/>
      <c r="D87" s="45"/>
      <c r="E87" s="150"/>
      <c r="F87" s="119"/>
      <c r="G87" s="154"/>
      <c r="H87" s="153"/>
    </row>
    <row r="88" spans="1:8" ht="15">
      <c r="A88" s="45"/>
      <c r="B88" s="45"/>
      <c r="C88" s="45"/>
      <c r="D88" s="45"/>
      <c r="E88" s="150"/>
      <c r="F88" s="154"/>
      <c r="G88" s="154"/>
      <c r="H88" s="154"/>
    </row>
    <row r="89" spans="1:8" ht="15">
      <c r="A89" s="45"/>
      <c r="B89" s="45"/>
      <c r="C89" s="45"/>
      <c r="D89" s="45"/>
      <c r="E89" s="158"/>
      <c r="F89" s="154"/>
      <c r="G89" s="153"/>
      <c r="H89" s="153"/>
    </row>
    <row r="90" spans="1:8" ht="15">
      <c r="A90" s="45"/>
      <c r="B90" s="45"/>
      <c r="C90" s="45"/>
      <c r="D90" s="45"/>
      <c r="E90" s="158"/>
      <c r="F90" s="154"/>
      <c r="G90" s="153"/>
      <c r="H90" s="153"/>
    </row>
    <row r="91" spans="1:8" ht="15">
      <c r="A91" s="45"/>
      <c r="B91" s="45"/>
      <c r="C91" s="45"/>
      <c r="D91" s="45"/>
      <c r="E91" s="150"/>
      <c r="F91" s="154"/>
      <c r="G91" s="154"/>
      <c r="H91" s="129"/>
    </row>
    <row r="92" spans="1:8" ht="15">
      <c r="A92" s="45"/>
      <c r="B92" s="45"/>
      <c r="C92" s="45"/>
      <c r="D92" s="45"/>
      <c r="E92" s="152"/>
      <c r="F92" s="156"/>
      <c r="G92" s="154"/>
      <c r="H92" s="154"/>
    </row>
    <row r="93" spans="1:8" ht="15">
      <c r="A93" s="45"/>
      <c r="B93" s="45"/>
      <c r="C93" s="45"/>
      <c r="D93" s="45"/>
      <c r="E93" s="152"/>
      <c r="F93" s="154"/>
      <c r="G93" s="153"/>
      <c r="H93" s="153"/>
    </row>
    <row r="94" spans="1:8" ht="15">
      <c r="A94" s="45"/>
      <c r="B94" s="45"/>
      <c r="C94" s="45"/>
      <c r="D94" s="45"/>
      <c r="E94" s="150"/>
      <c r="F94" s="154"/>
      <c r="G94" s="154"/>
      <c r="H94" s="153"/>
    </row>
    <row r="95" spans="1:8" ht="15">
      <c r="A95" s="45"/>
      <c r="B95" s="45"/>
      <c r="C95" s="45"/>
      <c r="D95" s="45"/>
      <c r="E95" s="150"/>
      <c r="F95" s="154"/>
      <c r="G95" s="154"/>
      <c r="H95" s="153"/>
    </row>
    <row r="96" spans="1:8" ht="15">
      <c r="A96" s="45"/>
      <c r="B96" s="45"/>
      <c r="C96" s="45"/>
      <c r="D96" s="45"/>
      <c r="E96" s="150"/>
      <c r="F96" s="154"/>
      <c r="G96" s="153"/>
      <c r="H96" s="159"/>
    </row>
    <row r="97" spans="1:8" ht="15">
      <c r="A97" s="45"/>
      <c r="B97" s="45"/>
      <c r="C97" s="45"/>
      <c r="D97" s="45"/>
      <c r="E97" s="160"/>
      <c r="F97" s="154"/>
      <c r="G97" s="159"/>
      <c r="H97" s="159"/>
    </row>
    <row r="98" spans="1:8" ht="15">
      <c r="A98" s="45"/>
      <c r="B98" s="45"/>
      <c r="C98" s="45"/>
      <c r="D98" s="45"/>
      <c r="E98" s="150"/>
      <c r="F98" s="154"/>
      <c r="G98" s="159"/>
      <c r="H98" s="159"/>
    </row>
    <row r="99" spans="1:8" ht="15.75">
      <c r="A99" s="45"/>
      <c r="B99" s="45"/>
      <c r="C99" s="45"/>
      <c r="D99" s="45"/>
      <c r="E99" s="161"/>
      <c r="F99" s="162"/>
      <c r="G99" s="163"/>
      <c r="H99" s="163"/>
    </row>
    <row r="100" spans="1:5" ht="14.25">
      <c r="A100" s="45"/>
      <c r="B100" s="45"/>
      <c r="C100" s="45"/>
      <c r="D100" s="45"/>
      <c r="E100" s="45"/>
    </row>
    <row r="101" spans="1:5" ht="14.25">
      <c r="A101" s="45"/>
      <c r="B101" s="45"/>
      <c r="C101" s="45"/>
      <c r="D101" s="45"/>
      <c r="E101" s="45"/>
    </row>
    <row r="102" spans="1:5" ht="14.25">
      <c r="A102" s="45"/>
      <c r="B102" s="45"/>
      <c r="C102" s="45"/>
      <c r="D102" s="45"/>
      <c r="E102" s="45"/>
    </row>
    <row r="103" spans="1:5" ht="14.25">
      <c r="A103" s="45"/>
      <c r="B103" s="45"/>
      <c r="C103" s="45"/>
      <c r="D103" s="45"/>
      <c r="E103" s="45"/>
    </row>
    <row r="104" spans="1:5" ht="14.25">
      <c r="A104" s="45"/>
      <c r="B104" s="45"/>
      <c r="C104" s="45"/>
      <c r="D104" s="45"/>
      <c r="E104" s="45"/>
    </row>
    <row r="105" spans="1:5" ht="14.25">
      <c r="A105" s="45"/>
      <c r="B105" s="45"/>
      <c r="C105" s="45"/>
      <c r="D105" s="45"/>
      <c r="E105" s="45"/>
    </row>
    <row r="106" spans="1:5" ht="14.25">
      <c r="A106" s="45"/>
      <c r="B106" s="45"/>
      <c r="C106" s="45"/>
      <c r="D106" s="45"/>
      <c r="E106" s="45"/>
    </row>
    <row r="107" spans="1:5" ht="14.25">
      <c r="A107" s="45"/>
      <c r="B107" s="45"/>
      <c r="C107" s="45"/>
      <c r="D107" s="45"/>
      <c r="E107" s="45"/>
    </row>
    <row r="108" spans="1:5" ht="14.25">
      <c r="A108" s="45"/>
      <c r="B108" s="45"/>
      <c r="C108" s="45"/>
      <c r="D108" s="45"/>
      <c r="E108" s="45"/>
    </row>
    <row r="109" spans="1:5" ht="14.25">
      <c r="A109" s="45"/>
      <c r="B109" s="45"/>
      <c r="C109" s="45"/>
      <c r="D109" s="45"/>
      <c r="E109" s="45"/>
    </row>
    <row r="110" spans="1:5" ht="14.25">
      <c r="A110" s="45"/>
      <c r="B110" s="45"/>
      <c r="C110" s="45"/>
      <c r="D110" s="45"/>
      <c r="E110" s="45"/>
    </row>
    <row r="111" spans="1:5" ht="14.25">
      <c r="A111" s="45"/>
      <c r="B111" s="45"/>
      <c r="C111" s="45"/>
      <c r="D111" s="45"/>
      <c r="E111" s="45"/>
    </row>
    <row r="112" spans="1:5" ht="14.25">
      <c r="A112" s="45"/>
      <c r="B112" s="45"/>
      <c r="C112" s="45"/>
      <c r="D112" s="45"/>
      <c r="E112" s="45"/>
    </row>
    <row r="113" spans="1:5" ht="14.25">
      <c r="A113" s="45"/>
      <c r="B113" s="45"/>
      <c r="C113" s="45"/>
      <c r="D113" s="45"/>
      <c r="E113" s="45"/>
    </row>
    <row r="114" spans="1:5" ht="14.25">
      <c r="A114" s="45"/>
      <c r="B114" s="45"/>
      <c r="C114" s="45"/>
      <c r="D114" s="45"/>
      <c r="E114" s="45"/>
    </row>
    <row r="115" spans="1:5" ht="14.25">
      <c r="A115" s="45"/>
      <c r="B115" s="45"/>
      <c r="C115" s="45"/>
      <c r="D115" s="45"/>
      <c r="E115" s="45"/>
    </row>
    <row r="116" spans="1:5" ht="14.25">
      <c r="A116" s="45"/>
      <c r="B116" s="45"/>
      <c r="C116" s="45"/>
      <c r="D116" s="45"/>
      <c r="E116" s="45"/>
    </row>
    <row r="117" spans="1:5" ht="14.25">
      <c r="A117" s="45"/>
      <c r="B117" s="45"/>
      <c r="C117" s="45"/>
      <c r="D117" s="45"/>
      <c r="E117" s="45"/>
    </row>
    <row r="118" spans="1:5" ht="14.25">
      <c r="A118" s="45"/>
      <c r="B118" s="45"/>
      <c r="C118" s="45"/>
      <c r="D118" s="45"/>
      <c r="E118" s="45"/>
    </row>
    <row r="119" spans="1:5" ht="14.25">
      <c r="A119" s="45"/>
      <c r="B119" s="45"/>
      <c r="C119" s="45"/>
      <c r="D119" s="45"/>
      <c r="E119" s="45"/>
    </row>
    <row r="120" spans="1:5" ht="14.25">
      <c r="A120" s="45"/>
      <c r="B120" s="45"/>
      <c r="C120" s="45"/>
      <c r="D120" s="45"/>
      <c r="E120" s="45"/>
    </row>
    <row r="121" spans="1:5" ht="14.25">
      <c r="A121" s="45"/>
      <c r="B121" s="45"/>
      <c r="C121" s="45"/>
      <c r="D121" s="45"/>
      <c r="E121" s="45"/>
    </row>
    <row r="122" spans="1:5" ht="14.25">
      <c r="A122" s="45"/>
      <c r="B122" s="45"/>
      <c r="C122" s="45"/>
      <c r="D122" s="45"/>
      <c r="E122" s="45"/>
    </row>
    <row r="123" spans="1:5" ht="14.25">
      <c r="A123" s="45"/>
      <c r="B123" s="45"/>
      <c r="C123" s="45"/>
      <c r="D123" s="45"/>
      <c r="E123" s="45"/>
    </row>
    <row r="124" spans="1:5" ht="14.25">
      <c r="A124" s="45"/>
      <c r="B124" s="45"/>
      <c r="C124" s="45"/>
      <c r="D124" s="45"/>
      <c r="E124" s="45"/>
    </row>
    <row r="125" spans="1:5" ht="14.25">
      <c r="A125" s="45"/>
      <c r="B125" s="45"/>
      <c r="C125" s="45"/>
      <c r="D125" s="45"/>
      <c r="E125" s="45"/>
    </row>
    <row r="126" spans="1:5" ht="14.25">
      <c r="A126" s="45"/>
      <c r="B126" s="45"/>
      <c r="C126" s="45"/>
      <c r="D126" s="45"/>
      <c r="E126" s="45"/>
    </row>
    <row r="127" spans="1:5" ht="14.25">
      <c r="A127" s="45"/>
      <c r="B127" s="45"/>
      <c r="C127" s="45"/>
      <c r="D127" s="45"/>
      <c r="E127" s="45"/>
    </row>
    <row r="128" spans="1:5" ht="14.25">
      <c r="A128" s="45"/>
      <c r="B128" s="45"/>
      <c r="C128" s="45"/>
      <c r="D128" s="45"/>
      <c r="E128" s="45"/>
    </row>
    <row r="129" spans="1:5" ht="14.25">
      <c r="A129" s="45"/>
      <c r="B129" s="45"/>
      <c r="C129" s="45"/>
      <c r="D129" s="45"/>
      <c r="E129" s="45"/>
    </row>
    <row r="130" spans="1:5" ht="14.25">
      <c r="A130" s="45"/>
      <c r="B130" s="45"/>
      <c r="C130" s="45"/>
      <c r="D130" s="45"/>
      <c r="E130" s="45"/>
    </row>
    <row r="131" spans="1:5" ht="14.25">
      <c r="A131" s="45"/>
      <c r="B131" s="45"/>
      <c r="C131" s="45"/>
      <c r="D131" s="45"/>
      <c r="E131" s="45"/>
    </row>
    <row r="132" spans="1:5" ht="14.25">
      <c r="A132" s="45"/>
      <c r="B132" s="45"/>
      <c r="C132" s="45"/>
      <c r="D132" s="45"/>
      <c r="E132" s="45"/>
    </row>
    <row r="133" spans="1:5" ht="14.25">
      <c r="A133" s="45"/>
      <c r="B133" s="45"/>
      <c r="C133" s="45"/>
      <c r="D133" s="45"/>
      <c r="E133" s="45"/>
    </row>
    <row r="134" spans="1:5" ht="14.25">
      <c r="A134" s="45"/>
      <c r="B134" s="45"/>
      <c r="C134" s="45"/>
      <c r="D134" s="45"/>
      <c r="E134" s="45"/>
    </row>
    <row r="135" spans="1:5" ht="14.25">
      <c r="A135" s="45"/>
      <c r="B135" s="45"/>
      <c r="C135" s="45"/>
      <c r="D135" s="45"/>
      <c r="E135" s="45"/>
    </row>
    <row r="136" spans="1:5" ht="14.25">
      <c r="A136" s="45"/>
      <c r="B136" s="45"/>
      <c r="C136" s="45"/>
      <c r="D136" s="45"/>
      <c r="E136" s="45"/>
    </row>
    <row r="137" spans="1:5" ht="14.25">
      <c r="A137" s="45"/>
      <c r="B137" s="45"/>
      <c r="C137" s="45"/>
      <c r="D137" s="45"/>
      <c r="E137" s="45"/>
    </row>
    <row r="138" spans="1:5" ht="14.25">
      <c r="A138" s="45"/>
      <c r="B138" s="45"/>
      <c r="C138" s="45"/>
      <c r="D138" s="45"/>
      <c r="E138" s="45"/>
    </row>
    <row r="139" spans="1:5" ht="14.25">
      <c r="A139" s="45"/>
      <c r="B139" s="45"/>
      <c r="C139" s="45"/>
      <c r="D139" s="45"/>
      <c r="E139" s="45"/>
    </row>
    <row r="140" spans="1:5" ht="14.25">
      <c r="A140" s="45"/>
      <c r="B140" s="45"/>
      <c r="C140" s="45"/>
      <c r="D140" s="45"/>
      <c r="E140" s="45"/>
    </row>
    <row r="141" spans="1:5" ht="14.25">
      <c r="A141" s="45"/>
      <c r="B141" s="45"/>
      <c r="C141" s="45"/>
      <c r="D141" s="45"/>
      <c r="E141" s="45"/>
    </row>
    <row r="142" spans="1:5" ht="14.25">
      <c r="A142" s="45"/>
      <c r="B142" s="45"/>
      <c r="C142" s="45"/>
      <c r="D142" s="45"/>
      <c r="E142" s="45"/>
    </row>
    <row r="143" spans="1:5" ht="14.25">
      <c r="A143" s="45"/>
      <c r="B143" s="45"/>
      <c r="C143" s="45"/>
      <c r="D143" s="45"/>
      <c r="E143" s="45"/>
    </row>
    <row r="144" spans="1:5" ht="14.25">
      <c r="A144" s="45"/>
      <c r="B144" s="45"/>
      <c r="C144" s="45"/>
      <c r="D144" s="45"/>
      <c r="E144" s="45"/>
    </row>
    <row r="145" spans="1:5" ht="14.25">
      <c r="A145" s="45"/>
      <c r="B145" s="45"/>
      <c r="C145" s="45"/>
      <c r="D145" s="45"/>
      <c r="E145" s="45"/>
    </row>
    <row r="146" spans="1:5" ht="14.25">
      <c r="A146" s="45"/>
      <c r="B146" s="45"/>
      <c r="C146" s="45"/>
      <c r="D146" s="45"/>
      <c r="E146" s="45"/>
    </row>
    <row r="147" spans="1:5" ht="14.25">
      <c r="A147" s="45"/>
      <c r="B147" s="45"/>
      <c r="C147" s="45"/>
      <c r="D147" s="45"/>
      <c r="E147" s="45"/>
    </row>
    <row r="148" spans="1:5" ht="14.25">
      <c r="A148" s="45"/>
      <c r="B148" s="45"/>
      <c r="C148" s="45"/>
      <c r="D148" s="45"/>
      <c r="E148" s="45"/>
    </row>
    <row r="149" spans="1:5" ht="14.25">
      <c r="A149" s="45"/>
      <c r="B149" s="45"/>
      <c r="C149" s="45"/>
      <c r="D149" s="45"/>
      <c r="E149" s="45"/>
    </row>
    <row r="150" spans="1:5" ht="14.25">
      <c r="A150" s="45"/>
      <c r="B150" s="45"/>
      <c r="C150" s="45"/>
      <c r="D150" s="45"/>
      <c r="E150" s="45"/>
    </row>
    <row r="151" spans="1:5" ht="14.25">
      <c r="A151" s="45"/>
      <c r="B151" s="45"/>
      <c r="C151" s="45"/>
      <c r="D151" s="45"/>
      <c r="E151" s="45"/>
    </row>
    <row r="152" spans="1:5" ht="14.25">
      <c r="A152" s="45"/>
      <c r="B152" s="45"/>
      <c r="C152" s="45"/>
      <c r="D152" s="45"/>
      <c r="E152" s="45"/>
    </row>
    <row r="153" spans="1:5" ht="14.25">
      <c r="A153" s="45"/>
      <c r="B153" s="45"/>
      <c r="C153" s="45"/>
      <c r="D153" s="45"/>
      <c r="E153" s="45"/>
    </row>
    <row r="154" spans="1:5" ht="14.25">
      <c r="A154" s="45"/>
      <c r="B154" s="45"/>
      <c r="C154" s="45"/>
      <c r="D154" s="45"/>
      <c r="E154" s="45"/>
    </row>
    <row r="155" spans="1:5" ht="14.25">
      <c r="A155" s="45"/>
      <c r="B155" s="45"/>
      <c r="C155" s="45"/>
      <c r="D155" s="45"/>
      <c r="E155" s="45"/>
    </row>
    <row r="156" spans="1:5" ht="14.25">
      <c r="A156" s="45"/>
      <c r="B156" s="45"/>
      <c r="C156" s="45"/>
      <c r="D156" s="45"/>
      <c r="E156" s="45"/>
    </row>
    <row r="157" spans="1:5" ht="14.25">
      <c r="A157" s="45"/>
      <c r="B157" s="45"/>
      <c r="C157" s="45"/>
      <c r="D157" s="45"/>
      <c r="E157" s="45"/>
    </row>
    <row r="158" spans="1:5" ht="14.25">
      <c r="A158" s="45"/>
      <c r="B158" s="45"/>
      <c r="C158" s="45"/>
      <c r="D158" s="45"/>
      <c r="E158" s="45"/>
    </row>
    <row r="159" spans="1:5" ht="14.25">
      <c r="A159" s="45"/>
      <c r="B159" s="45"/>
      <c r="C159" s="45"/>
      <c r="D159" s="45"/>
      <c r="E159" s="45"/>
    </row>
    <row r="160" spans="1:5" ht="14.25">
      <c r="A160" s="45"/>
      <c r="B160" s="45"/>
      <c r="C160" s="45"/>
      <c r="D160" s="45"/>
      <c r="E160" s="45"/>
    </row>
    <row r="161" spans="1:5" ht="14.25">
      <c r="A161" s="45"/>
      <c r="B161" s="45"/>
      <c r="C161" s="45"/>
      <c r="D161" s="45"/>
      <c r="E161" s="45"/>
    </row>
    <row r="162" spans="1:5" ht="14.25">
      <c r="A162" s="45"/>
      <c r="B162" s="45"/>
      <c r="C162" s="45"/>
      <c r="D162" s="45"/>
      <c r="E162" s="45"/>
    </row>
    <row r="163" spans="1:5" ht="14.25">
      <c r="A163" s="45"/>
      <c r="B163" s="45"/>
      <c r="C163" s="45"/>
      <c r="D163" s="45"/>
      <c r="E163" s="45"/>
    </row>
    <row r="164" spans="1:5" ht="14.25">
      <c r="A164" s="45"/>
      <c r="B164" s="45"/>
      <c r="C164" s="45"/>
      <c r="D164" s="45"/>
      <c r="E164" s="45"/>
    </row>
    <row r="165" spans="1:5" ht="14.25">
      <c r="A165" s="45"/>
      <c r="B165" s="45"/>
      <c r="C165" s="45"/>
      <c r="D165" s="45"/>
      <c r="E165" s="45"/>
    </row>
    <row r="166" spans="1:5" ht="14.25">
      <c r="A166" s="45"/>
      <c r="B166" s="45"/>
      <c r="C166" s="45"/>
      <c r="D166" s="45"/>
      <c r="E166" s="45"/>
    </row>
    <row r="167" spans="1:5" ht="14.25">
      <c r="A167" s="45"/>
      <c r="B167" s="45"/>
      <c r="C167" s="45"/>
      <c r="D167" s="45"/>
      <c r="E167" s="45"/>
    </row>
    <row r="168" spans="1:5" ht="14.25">
      <c r="A168" s="45"/>
      <c r="B168" s="45"/>
      <c r="C168" s="45"/>
      <c r="D168" s="45"/>
      <c r="E168" s="45"/>
    </row>
    <row r="169" spans="1:5" ht="14.25">
      <c r="A169" s="45"/>
      <c r="B169" s="45"/>
      <c r="C169" s="45"/>
      <c r="D169" s="45"/>
      <c r="E169" s="45"/>
    </row>
    <row r="170" spans="1:5" ht="14.25">
      <c r="A170" s="45"/>
      <c r="B170" s="45"/>
      <c r="C170" s="45"/>
      <c r="D170" s="45"/>
      <c r="E170" s="45"/>
    </row>
    <row r="171" spans="1:5" ht="14.25">
      <c r="A171" s="45"/>
      <c r="B171" s="45"/>
      <c r="C171" s="45"/>
      <c r="D171" s="45"/>
      <c r="E171" s="45"/>
    </row>
    <row r="172" spans="1:5" ht="14.25">
      <c r="A172" s="45"/>
      <c r="B172" s="45"/>
      <c r="C172" s="45"/>
      <c r="D172" s="45"/>
      <c r="E172" s="45"/>
    </row>
    <row r="173" spans="1:5" ht="14.25">
      <c r="A173" s="45"/>
      <c r="B173" s="45"/>
      <c r="C173" s="45"/>
      <c r="D173" s="45"/>
      <c r="E173" s="45"/>
    </row>
    <row r="174" spans="1:5" ht="14.25">
      <c r="A174" s="45"/>
      <c r="B174" s="45"/>
      <c r="C174" s="45"/>
      <c r="D174" s="45"/>
      <c r="E174" s="45"/>
    </row>
    <row r="175" spans="1:5" ht="14.25">
      <c r="A175" s="45"/>
      <c r="B175" s="45"/>
      <c r="C175" s="45"/>
      <c r="D175" s="45"/>
      <c r="E175" s="45"/>
    </row>
    <row r="176" spans="1:5" ht="14.25">
      <c r="A176" s="45"/>
      <c r="B176" s="45"/>
      <c r="C176" s="45"/>
      <c r="D176" s="45"/>
      <c r="E176" s="45"/>
    </row>
    <row r="177" spans="1:5" ht="14.25">
      <c r="A177" s="45"/>
      <c r="B177" s="45"/>
      <c r="C177" s="45"/>
      <c r="D177" s="45"/>
      <c r="E177" s="45"/>
    </row>
    <row r="178" spans="1:5" ht="14.25">
      <c r="A178" s="45"/>
      <c r="B178" s="45"/>
      <c r="C178" s="45"/>
      <c r="D178" s="45"/>
      <c r="E178" s="45"/>
    </row>
    <row r="179" spans="1:5" ht="14.25">
      <c r="A179" s="45"/>
      <c r="B179" s="45"/>
      <c r="C179" s="45"/>
      <c r="D179" s="45"/>
      <c r="E179" s="45"/>
    </row>
    <row r="180" spans="1:5" ht="14.25">
      <c r="A180" s="45"/>
      <c r="B180" s="45"/>
      <c r="C180" s="45"/>
      <c r="D180" s="45"/>
      <c r="E180" s="45"/>
    </row>
    <row r="181" spans="1:5" ht="14.25">
      <c r="A181" s="45"/>
      <c r="B181" s="45"/>
      <c r="C181" s="45"/>
      <c r="D181" s="45"/>
      <c r="E181" s="45"/>
    </row>
    <row r="182" spans="1:5" ht="14.25">
      <c r="A182" s="45"/>
      <c r="B182" s="45"/>
      <c r="C182" s="45"/>
      <c r="D182" s="45"/>
      <c r="E182" s="45"/>
    </row>
    <row r="183" spans="1:5" ht="14.25">
      <c r="A183" s="45"/>
      <c r="B183" s="45"/>
      <c r="C183" s="45"/>
      <c r="D183" s="45"/>
      <c r="E183" s="45"/>
    </row>
    <row r="184" spans="1:5" ht="14.25">
      <c r="A184" s="45"/>
      <c r="B184" s="45"/>
      <c r="C184" s="45"/>
      <c r="D184" s="45"/>
      <c r="E184" s="45"/>
    </row>
    <row r="185" spans="1:5" ht="14.25">
      <c r="A185" s="45"/>
      <c r="B185" s="45"/>
      <c r="C185" s="45"/>
      <c r="D185" s="45"/>
      <c r="E185" s="45"/>
    </row>
    <row r="186" spans="1:5" ht="14.25">
      <c r="A186" s="45"/>
      <c r="B186" s="45"/>
      <c r="C186" s="45"/>
      <c r="D186" s="45"/>
      <c r="E186" s="45"/>
    </row>
    <row r="187" spans="1:5" ht="14.25">
      <c r="A187" s="45"/>
      <c r="B187" s="45"/>
      <c r="C187" s="45"/>
      <c r="D187" s="45"/>
      <c r="E187" s="45"/>
    </row>
    <row r="188" spans="1:5" ht="14.25">
      <c r="A188" s="45"/>
      <c r="B188" s="45"/>
      <c r="C188" s="45"/>
      <c r="D188" s="45"/>
      <c r="E188" s="45"/>
    </row>
    <row r="189" spans="1:5" ht="14.25">
      <c r="A189" s="45"/>
      <c r="B189" s="45"/>
      <c r="C189" s="45"/>
      <c r="D189" s="45"/>
      <c r="E189" s="45"/>
    </row>
    <row r="190" spans="1:5" ht="14.25">
      <c r="A190" s="45"/>
      <c r="B190" s="45"/>
      <c r="C190" s="45"/>
      <c r="D190" s="45"/>
      <c r="E190" s="45"/>
    </row>
    <row r="191" spans="1:5" ht="14.25">
      <c r="A191" s="45"/>
      <c r="B191" s="45"/>
      <c r="C191" s="45"/>
      <c r="D191" s="45"/>
      <c r="E191" s="45"/>
    </row>
    <row r="192" spans="1:5" ht="14.25">
      <c r="A192" s="45"/>
      <c r="B192" s="45"/>
      <c r="C192" s="45"/>
      <c r="D192" s="45"/>
      <c r="E192" s="45"/>
    </row>
    <row r="193" spans="1:5" ht="14.25">
      <c r="A193" s="45"/>
      <c r="B193" s="45"/>
      <c r="C193" s="45"/>
      <c r="D193" s="45"/>
      <c r="E193" s="45"/>
    </row>
    <row r="194" spans="1:5" ht="14.25">
      <c r="A194" s="45"/>
      <c r="B194" s="45"/>
      <c r="C194" s="45"/>
      <c r="D194" s="45"/>
      <c r="E194" s="45"/>
    </row>
    <row r="195" spans="1:5" ht="14.25">
      <c r="A195" s="45"/>
      <c r="B195" s="45"/>
      <c r="C195" s="45"/>
      <c r="D195" s="45"/>
      <c r="E195" s="45"/>
    </row>
    <row r="196" spans="1:5" ht="14.25">
      <c r="A196" s="45"/>
      <c r="B196" s="45"/>
      <c r="C196" s="45"/>
      <c r="D196" s="45"/>
      <c r="E196" s="45"/>
    </row>
    <row r="197" spans="1:5" ht="14.25">
      <c r="A197" s="45"/>
      <c r="B197" s="45"/>
      <c r="C197" s="45"/>
      <c r="D197" s="45"/>
      <c r="E197" s="45"/>
    </row>
    <row r="198" spans="1:5" ht="14.25">
      <c r="A198" s="45"/>
      <c r="B198" s="45"/>
      <c r="C198" s="45"/>
      <c r="D198" s="45"/>
      <c r="E198" s="45"/>
    </row>
    <row r="199" spans="1:5" ht="14.25">
      <c r="A199" s="45"/>
      <c r="B199" s="45"/>
      <c r="C199" s="45"/>
      <c r="D199" s="45"/>
      <c r="E199" s="45"/>
    </row>
    <row r="200" spans="1:5" ht="14.25">
      <c r="A200" s="45"/>
      <c r="B200" s="45"/>
      <c r="C200" s="45"/>
      <c r="D200" s="45"/>
      <c r="E200" s="45"/>
    </row>
    <row r="201" spans="1:5" ht="14.25">
      <c r="A201" s="45"/>
      <c r="B201" s="45"/>
      <c r="C201" s="45"/>
      <c r="D201" s="45"/>
      <c r="E201" s="45"/>
    </row>
    <row r="202" spans="1:5" ht="14.25">
      <c r="A202" s="45"/>
      <c r="B202" s="45"/>
      <c r="C202" s="45"/>
      <c r="D202" s="45"/>
      <c r="E202" s="45"/>
    </row>
    <row r="203" spans="1:5" ht="14.25">
      <c r="A203" s="45"/>
      <c r="B203" s="45"/>
      <c r="C203" s="45"/>
      <c r="D203" s="45"/>
      <c r="E203" s="45"/>
    </row>
    <row r="204" spans="1:5" ht="14.25">
      <c r="A204" s="45"/>
      <c r="B204" s="45"/>
      <c r="C204" s="45"/>
      <c r="D204" s="45"/>
      <c r="E204" s="45"/>
    </row>
    <row r="205" spans="1:5" ht="14.25">
      <c r="A205" s="45"/>
      <c r="B205" s="45"/>
      <c r="C205" s="45"/>
      <c r="D205" s="45"/>
      <c r="E205" s="45"/>
    </row>
    <row r="206" spans="1:5" ht="14.25">
      <c r="A206" s="45"/>
      <c r="B206" s="45"/>
      <c r="C206" s="45"/>
      <c r="D206" s="45"/>
      <c r="E206" s="45"/>
    </row>
    <row r="207" spans="1:5" ht="14.25">
      <c r="A207" s="45"/>
      <c r="B207" s="45"/>
      <c r="C207" s="45"/>
      <c r="D207" s="45"/>
      <c r="E207" s="45"/>
    </row>
    <row r="208" spans="1:5" ht="14.25">
      <c r="A208" s="45"/>
      <c r="B208" s="45"/>
      <c r="C208" s="45"/>
      <c r="D208" s="45"/>
      <c r="E208" s="45"/>
    </row>
    <row r="209" spans="1:5" ht="14.25">
      <c r="A209" s="45"/>
      <c r="B209" s="45"/>
      <c r="C209" s="45"/>
      <c r="D209" s="45"/>
      <c r="E209" s="45"/>
    </row>
    <row r="210" spans="1:5" ht="14.25">
      <c r="A210" s="45"/>
      <c r="B210" s="45"/>
      <c r="C210" s="45"/>
      <c r="D210" s="45"/>
      <c r="E210" s="45"/>
    </row>
    <row r="211" spans="1:5" ht="14.25">
      <c r="A211" s="45"/>
      <c r="B211" s="45"/>
      <c r="C211" s="45"/>
      <c r="D211" s="45"/>
      <c r="E211" s="45"/>
    </row>
    <row r="212" spans="1:5" ht="14.25">
      <c r="A212" s="45"/>
      <c r="B212" s="45"/>
      <c r="C212" s="45"/>
      <c r="D212" s="45"/>
      <c r="E212" s="45"/>
    </row>
    <row r="213" spans="1:5" ht="14.25">
      <c r="A213" s="45"/>
      <c r="B213" s="45"/>
      <c r="C213" s="45"/>
      <c r="D213" s="45"/>
      <c r="E213" s="45"/>
    </row>
    <row r="214" spans="1:5" ht="14.25">
      <c r="A214" s="45"/>
      <c r="B214" s="45"/>
      <c r="C214" s="45"/>
      <c r="D214" s="45"/>
      <c r="E214" s="45"/>
    </row>
    <row r="215" spans="1:5" ht="14.25">
      <c r="A215" s="45"/>
      <c r="B215" s="45"/>
      <c r="C215" s="45"/>
      <c r="D215" s="45"/>
      <c r="E215" s="45"/>
    </row>
    <row r="216" spans="1:5" ht="14.25">
      <c r="A216" s="45"/>
      <c r="B216" s="45"/>
      <c r="C216" s="45"/>
      <c r="D216" s="45"/>
      <c r="E216" s="45"/>
    </row>
    <row r="217" spans="1:5" ht="14.25">
      <c r="A217" s="45"/>
      <c r="B217" s="45"/>
      <c r="C217" s="45"/>
      <c r="D217" s="45"/>
      <c r="E217" s="45"/>
    </row>
    <row r="218" spans="1:5" ht="14.25">
      <c r="A218" s="45"/>
      <c r="B218" s="45"/>
      <c r="C218" s="45"/>
      <c r="D218" s="45"/>
      <c r="E218" s="45"/>
    </row>
    <row r="219" spans="1:5" ht="14.25">
      <c r="A219" s="45"/>
      <c r="B219" s="45"/>
      <c r="C219" s="45"/>
      <c r="D219" s="45"/>
      <c r="E219" s="45"/>
    </row>
    <row r="220" spans="1:5" ht="14.25">
      <c r="A220" s="45"/>
      <c r="B220" s="45"/>
      <c r="C220" s="45"/>
      <c r="D220" s="45"/>
      <c r="E220" s="45"/>
    </row>
    <row r="221" spans="1:5" ht="14.25">
      <c r="A221" s="45"/>
      <c r="B221" s="45"/>
      <c r="C221" s="45"/>
      <c r="D221" s="45"/>
      <c r="E221" s="45"/>
    </row>
    <row r="222" spans="1:5" ht="14.25">
      <c r="A222" s="45"/>
      <c r="B222" s="45"/>
      <c r="C222" s="45"/>
      <c r="D222" s="45"/>
      <c r="E222" s="45"/>
    </row>
    <row r="223" spans="1:5" ht="14.25">
      <c r="A223" s="45"/>
      <c r="B223" s="45"/>
      <c r="C223" s="45"/>
      <c r="D223" s="45"/>
      <c r="E223" s="45"/>
    </row>
    <row r="224" spans="1:5" ht="14.25">
      <c r="A224" s="45"/>
      <c r="B224" s="45"/>
      <c r="C224" s="45"/>
      <c r="D224" s="45"/>
      <c r="E224" s="45"/>
    </row>
    <row r="225" spans="1:5" ht="14.25">
      <c r="A225" s="45"/>
      <c r="B225" s="45"/>
      <c r="C225" s="45"/>
      <c r="D225" s="45"/>
      <c r="E225" s="45"/>
    </row>
    <row r="226" spans="1:5" ht="14.25">
      <c r="A226" s="45"/>
      <c r="B226" s="45"/>
      <c r="C226" s="45"/>
      <c r="D226" s="45"/>
      <c r="E226" s="45"/>
    </row>
    <row r="227" spans="1:5" ht="14.25">
      <c r="A227" s="45"/>
      <c r="B227" s="45"/>
      <c r="C227" s="45"/>
      <c r="D227" s="45"/>
      <c r="E227" s="45"/>
    </row>
    <row r="228" spans="1:5" ht="14.25">
      <c r="A228" s="45"/>
      <c r="B228" s="45"/>
      <c r="C228" s="45"/>
      <c r="D228" s="45"/>
      <c r="E228" s="45"/>
    </row>
    <row r="229" spans="1:5" ht="14.25">
      <c r="A229" s="45"/>
      <c r="B229" s="45"/>
      <c r="C229" s="45"/>
      <c r="D229" s="45"/>
      <c r="E229" s="45"/>
    </row>
    <row r="230" spans="1:5" ht="14.25">
      <c r="A230" s="45"/>
      <c r="B230" s="45"/>
      <c r="C230" s="45"/>
      <c r="D230" s="45"/>
      <c r="E230" s="45"/>
    </row>
    <row r="231" spans="1:5" ht="14.25">
      <c r="A231" s="45"/>
      <c r="B231" s="45"/>
      <c r="C231" s="45"/>
      <c r="D231" s="45"/>
      <c r="E231" s="45"/>
    </row>
    <row r="232" spans="1:5" ht="14.25">
      <c r="A232" s="45"/>
      <c r="B232" s="45"/>
      <c r="C232" s="45"/>
      <c r="D232" s="45"/>
      <c r="E232" s="45"/>
    </row>
    <row r="233" spans="1:5" ht="14.25">
      <c r="A233" s="45"/>
      <c r="B233" s="45"/>
      <c r="C233" s="45"/>
      <c r="D233" s="45"/>
      <c r="E233" s="45"/>
    </row>
    <row r="234" spans="1:5" ht="14.25">
      <c r="A234" s="45"/>
      <c r="B234" s="45"/>
      <c r="C234" s="45"/>
      <c r="D234" s="45"/>
      <c r="E234" s="45"/>
    </row>
    <row r="235" spans="1:5" ht="14.25">
      <c r="A235" s="45"/>
      <c r="B235" s="45"/>
      <c r="C235" s="45"/>
      <c r="D235" s="45"/>
      <c r="E235" s="45"/>
    </row>
    <row r="236" spans="1:5" ht="14.25">
      <c r="A236" s="45"/>
      <c r="B236" s="45"/>
      <c r="C236" s="45"/>
      <c r="D236" s="45"/>
      <c r="E236" s="45"/>
    </row>
    <row r="237" spans="1:5" ht="14.25">
      <c r="A237" s="45"/>
      <c r="B237" s="45"/>
      <c r="C237" s="45"/>
      <c r="D237" s="45"/>
      <c r="E237" s="45"/>
    </row>
    <row r="238" spans="1:5" ht="14.25">
      <c r="A238" s="45"/>
      <c r="B238" s="45"/>
      <c r="C238" s="45"/>
      <c r="D238" s="45"/>
      <c r="E238" s="45"/>
    </row>
    <row r="239" spans="1:5" ht="14.25">
      <c r="A239" s="45"/>
      <c r="B239" s="45"/>
      <c r="C239" s="45"/>
      <c r="D239" s="45"/>
      <c r="E239" s="45"/>
    </row>
    <row r="240" spans="1:5" ht="14.25">
      <c r="A240" s="45"/>
      <c r="B240" s="45"/>
      <c r="C240" s="45"/>
      <c r="D240" s="45"/>
      <c r="E240" s="45"/>
    </row>
    <row r="241" spans="1:5" ht="14.25">
      <c r="A241" s="45"/>
      <c r="B241" s="45"/>
      <c r="C241" s="45"/>
      <c r="D241" s="45"/>
      <c r="E241" s="45"/>
    </row>
    <row r="242" spans="1:5" ht="14.25">
      <c r="A242" s="45"/>
      <c r="B242" s="45"/>
      <c r="C242" s="45"/>
      <c r="D242" s="45"/>
      <c r="E242" s="45"/>
    </row>
    <row r="243" spans="1:5" ht="14.25">
      <c r="A243" s="45"/>
      <c r="B243" s="45"/>
      <c r="C243" s="45"/>
      <c r="D243" s="45"/>
      <c r="E243" s="45"/>
    </row>
    <row r="244" spans="1:5" ht="14.25">
      <c r="A244" s="45"/>
      <c r="B244" s="45"/>
      <c r="C244" s="45"/>
      <c r="D244" s="45"/>
      <c r="E244" s="45"/>
    </row>
    <row r="245" spans="1:5" ht="14.25">
      <c r="A245" s="45"/>
      <c r="B245" s="45"/>
      <c r="C245" s="45"/>
      <c r="D245" s="45"/>
      <c r="E245" s="45"/>
    </row>
    <row r="246" spans="1:5" ht="14.25">
      <c r="A246" s="45"/>
      <c r="B246" s="45"/>
      <c r="C246" s="45"/>
      <c r="D246" s="45"/>
      <c r="E246" s="45"/>
    </row>
    <row r="247" spans="1:5" ht="14.25">
      <c r="A247" s="45"/>
      <c r="B247" s="45"/>
      <c r="C247" s="45"/>
      <c r="D247" s="45"/>
      <c r="E247" s="45"/>
    </row>
    <row r="248" spans="1:5" ht="14.25">
      <c r="A248" s="45"/>
      <c r="B248" s="45"/>
      <c r="C248" s="45"/>
      <c r="D248" s="45"/>
      <c r="E248" s="45"/>
    </row>
    <row r="249" spans="1:5" ht="14.25">
      <c r="A249" s="45"/>
      <c r="B249" s="45"/>
      <c r="C249" s="45"/>
      <c r="D249" s="45"/>
      <c r="E249" s="45"/>
    </row>
    <row r="250" spans="1:5" ht="14.25">
      <c r="A250" s="45"/>
      <c r="B250" s="45"/>
      <c r="C250" s="45"/>
      <c r="D250" s="45"/>
      <c r="E250" s="45"/>
    </row>
    <row r="251" spans="1:5" ht="14.25">
      <c r="A251" s="45"/>
      <c r="B251" s="45"/>
      <c r="C251" s="45"/>
      <c r="D251" s="45"/>
      <c r="E251" s="45"/>
    </row>
    <row r="252" spans="1:5" ht="14.25">
      <c r="A252" s="45"/>
      <c r="B252" s="45"/>
      <c r="C252" s="45"/>
      <c r="D252" s="45"/>
      <c r="E252" s="45"/>
    </row>
    <row r="253" spans="1:5" ht="14.25">
      <c r="A253" s="45"/>
      <c r="B253" s="45"/>
      <c r="C253" s="45"/>
      <c r="D253" s="45"/>
      <c r="E253" s="45"/>
    </row>
    <row r="254" spans="1:5" ht="14.25">
      <c r="A254" s="45"/>
      <c r="B254" s="45"/>
      <c r="C254" s="45"/>
      <c r="D254" s="45"/>
      <c r="E254" s="45"/>
    </row>
    <row r="255" spans="1:5" ht="14.25">
      <c r="A255" s="45"/>
      <c r="B255" s="45"/>
      <c r="C255" s="45"/>
      <c r="D255" s="45"/>
      <c r="E255" s="45"/>
    </row>
    <row r="256" spans="1:5" ht="14.25">
      <c r="A256" s="45"/>
      <c r="B256" s="45"/>
      <c r="C256" s="45"/>
      <c r="D256" s="45"/>
      <c r="E256" s="45"/>
    </row>
    <row r="257" spans="1:5" ht="14.25">
      <c r="A257" s="45"/>
      <c r="B257" s="45"/>
      <c r="C257" s="45"/>
      <c r="D257" s="45"/>
      <c r="E257" s="45"/>
    </row>
    <row r="258" spans="1:5" ht="14.25">
      <c r="A258" s="45"/>
      <c r="B258" s="45"/>
      <c r="C258" s="45"/>
      <c r="D258" s="45"/>
      <c r="E258" s="45"/>
    </row>
    <row r="259" spans="1:5" ht="14.25">
      <c r="A259" s="45"/>
      <c r="B259" s="45"/>
      <c r="C259" s="45"/>
      <c r="D259" s="45"/>
      <c r="E259" s="45"/>
    </row>
    <row r="260" spans="1:5" ht="14.25">
      <c r="A260" s="45"/>
      <c r="B260" s="45"/>
      <c r="C260" s="45"/>
      <c r="D260" s="45"/>
      <c r="E260" s="45"/>
    </row>
    <row r="261" spans="1:5" ht="14.25">
      <c r="A261" s="45"/>
      <c r="B261" s="45"/>
      <c r="C261" s="45"/>
      <c r="D261" s="45"/>
      <c r="E261" s="45"/>
    </row>
    <row r="262" spans="1:5" ht="14.25">
      <c r="A262" s="45"/>
      <c r="B262" s="45"/>
      <c r="C262" s="45"/>
      <c r="D262" s="45"/>
      <c r="E262" s="45"/>
    </row>
    <row r="263" spans="1:5" ht="14.25">
      <c r="A263" s="45"/>
      <c r="B263" s="45"/>
      <c r="C263" s="45"/>
      <c r="D263" s="45"/>
      <c r="E263" s="45"/>
    </row>
    <row r="264" spans="1:5" ht="14.25">
      <c r="A264" s="45"/>
      <c r="B264" s="45"/>
      <c r="C264" s="45"/>
      <c r="D264" s="45"/>
      <c r="E264" s="45"/>
    </row>
    <row r="265" spans="1:5" ht="14.25">
      <c r="A265" s="45"/>
      <c r="B265" s="45"/>
      <c r="C265" s="45"/>
      <c r="D265" s="45"/>
      <c r="E265" s="45"/>
    </row>
    <row r="266" spans="1:5" ht="14.25">
      <c r="A266" s="45"/>
      <c r="B266" s="45"/>
      <c r="C266" s="45"/>
      <c r="D266" s="45"/>
      <c r="E266" s="45"/>
    </row>
    <row r="267" spans="1:5" ht="14.25">
      <c r="A267" s="45"/>
      <c r="B267" s="45"/>
      <c r="C267" s="45"/>
      <c r="D267" s="45"/>
      <c r="E267" s="45"/>
    </row>
    <row r="268" spans="1:5" ht="14.25">
      <c r="A268" s="45"/>
      <c r="B268" s="45"/>
      <c r="C268" s="45"/>
      <c r="D268" s="45"/>
      <c r="E268" s="45"/>
    </row>
    <row r="269" spans="1:5" ht="14.25">
      <c r="A269" s="45"/>
      <c r="B269" s="45"/>
      <c r="C269" s="45"/>
      <c r="D269" s="45"/>
      <c r="E269" s="45"/>
    </row>
    <row r="270" spans="1:5" ht="14.25">
      <c r="A270" s="45"/>
      <c r="B270" s="45"/>
      <c r="C270" s="45"/>
      <c r="D270" s="45"/>
      <c r="E270" s="45"/>
    </row>
    <row r="271" spans="1:5" ht="14.25">
      <c r="A271" s="45"/>
      <c r="B271" s="45"/>
      <c r="C271" s="45"/>
      <c r="D271" s="45"/>
      <c r="E271" s="45"/>
    </row>
    <row r="272" spans="1:5" ht="14.25">
      <c r="A272" s="45"/>
      <c r="B272" s="45"/>
      <c r="C272" s="45"/>
      <c r="D272" s="45"/>
      <c r="E272" s="45"/>
    </row>
    <row r="273" spans="1:5" ht="14.25">
      <c r="A273" s="45"/>
      <c r="B273" s="45"/>
      <c r="C273" s="45"/>
      <c r="D273" s="45"/>
      <c r="E273" s="45"/>
    </row>
    <row r="274" spans="1:5" ht="14.25">
      <c r="A274" s="45"/>
      <c r="B274" s="45"/>
      <c r="C274" s="45"/>
      <c r="D274" s="45"/>
      <c r="E274" s="45"/>
    </row>
    <row r="275" spans="1:5" ht="14.25">
      <c r="A275" s="45"/>
      <c r="B275" s="45"/>
      <c r="C275" s="45"/>
      <c r="D275" s="45"/>
      <c r="E275" s="45"/>
    </row>
    <row r="276" spans="1:5" ht="14.25">
      <c r="A276" s="45"/>
      <c r="B276" s="45"/>
      <c r="C276" s="45"/>
      <c r="D276" s="45"/>
      <c r="E276" s="45"/>
    </row>
    <row r="277" spans="1:5" ht="14.25">
      <c r="A277" s="45"/>
      <c r="B277" s="45"/>
      <c r="C277" s="45"/>
      <c r="D277" s="45"/>
      <c r="E277" s="45"/>
    </row>
    <row r="278" spans="1:5" ht="14.25">
      <c r="A278" s="45"/>
      <c r="B278" s="45"/>
      <c r="C278" s="45"/>
      <c r="D278" s="45"/>
      <c r="E278" s="45"/>
    </row>
    <row r="279" spans="1:5" ht="14.25">
      <c r="A279" s="45"/>
      <c r="B279" s="45"/>
      <c r="C279" s="45"/>
      <c r="D279" s="45"/>
      <c r="E279" s="45"/>
    </row>
    <row r="280" spans="1:5" ht="14.25">
      <c r="A280" s="45"/>
      <c r="B280" s="45"/>
      <c r="C280" s="45"/>
      <c r="D280" s="45"/>
      <c r="E280" s="45"/>
    </row>
    <row r="281" spans="1:5" ht="14.25">
      <c r="A281" s="45"/>
      <c r="B281" s="45"/>
      <c r="C281" s="45"/>
      <c r="D281" s="45"/>
      <c r="E281" s="45"/>
    </row>
    <row r="282" spans="1:5" ht="14.25">
      <c r="A282" s="45"/>
      <c r="B282" s="45"/>
      <c r="C282" s="45"/>
      <c r="D282" s="45"/>
      <c r="E282" s="45"/>
    </row>
    <row r="283" spans="1:5" ht="14.25">
      <c r="A283" s="45"/>
      <c r="B283" s="45"/>
      <c r="C283" s="45"/>
      <c r="D283" s="45"/>
      <c r="E283" s="45"/>
    </row>
    <row r="284" spans="1:5" ht="14.25">
      <c r="A284" s="45"/>
      <c r="B284" s="45"/>
      <c r="C284" s="45"/>
      <c r="D284" s="45"/>
      <c r="E284" s="45"/>
    </row>
    <row r="285" spans="1:5" ht="14.25">
      <c r="A285" s="45"/>
      <c r="B285" s="45"/>
      <c r="C285" s="45"/>
      <c r="D285" s="45"/>
      <c r="E285" s="45"/>
    </row>
    <row r="286" spans="1:5" ht="14.25">
      <c r="A286" s="45"/>
      <c r="B286" s="45"/>
      <c r="C286" s="45"/>
      <c r="D286" s="45"/>
      <c r="E286" s="45"/>
    </row>
    <row r="287" spans="1:5" ht="14.25">
      <c r="A287" s="45"/>
      <c r="B287" s="45"/>
      <c r="C287" s="45"/>
      <c r="D287" s="45"/>
      <c r="E287" s="45"/>
    </row>
    <row r="288" spans="1:5" ht="14.25">
      <c r="A288" s="45"/>
      <c r="B288" s="45"/>
      <c r="C288" s="45"/>
      <c r="D288" s="45"/>
      <c r="E288" s="45"/>
    </row>
    <row r="289" spans="1:5" ht="14.25">
      <c r="A289" s="45"/>
      <c r="B289" s="45"/>
      <c r="C289" s="45"/>
      <c r="D289" s="45"/>
      <c r="E289" s="45"/>
    </row>
    <row r="290" spans="1:5" ht="14.25">
      <c r="A290" s="45"/>
      <c r="B290" s="45"/>
      <c r="C290" s="45"/>
      <c r="D290" s="45"/>
      <c r="E290" s="45"/>
    </row>
    <row r="291" spans="1:5" ht="14.25">
      <c r="A291" s="45"/>
      <c r="B291" s="45"/>
      <c r="C291" s="45"/>
      <c r="D291" s="45"/>
      <c r="E291" s="45"/>
    </row>
    <row r="292" spans="1:5" ht="14.25">
      <c r="A292" s="45"/>
      <c r="B292" s="45"/>
      <c r="C292" s="45"/>
      <c r="D292" s="45"/>
      <c r="E292" s="45"/>
    </row>
    <row r="293" spans="1:5" ht="14.25">
      <c r="A293" s="45"/>
      <c r="B293" s="45"/>
      <c r="C293" s="45"/>
      <c r="D293" s="45"/>
      <c r="E293" s="45"/>
    </row>
    <row r="294" spans="1:5" ht="14.25">
      <c r="A294" s="45"/>
      <c r="B294" s="45"/>
      <c r="C294" s="45"/>
      <c r="D294" s="45"/>
      <c r="E294" s="45"/>
    </row>
    <row r="295" spans="1:5" ht="14.25">
      <c r="A295" s="45"/>
      <c r="B295" s="45"/>
      <c r="C295" s="45"/>
      <c r="D295" s="45"/>
      <c r="E295" s="45"/>
    </row>
    <row r="296" spans="1:5" ht="14.25">
      <c r="A296" s="45"/>
      <c r="B296" s="45"/>
      <c r="C296" s="45"/>
      <c r="D296" s="45"/>
      <c r="E296" s="45"/>
    </row>
    <row r="297" spans="1:5" ht="14.25">
      <c r="A297" s="45"/>
      <c r="B297" s="45"/>
      <c r="C297" s="45"/>
      <c r="D297" s="45"/>
      <c r="E297" s="45"/>
    </row>
    <row r="298" spans="1:5" ht="14.25">
      <c r="A298" s="45"/>
      <c r="B298" s="45"/>
      <c r="C298" s="45"/>
      <c r="D298" s="45"/>
      <c r="E298" s="45"/>
    </row>
    <row r="299" spans="1:5" ht="14.25">
      <c r="A299" s="45"/>
      <c r="B299" s="45"/>
      <c r="C299" s="45"/>
      <c r="D299" s="45"/>
      <c r="E299" s="45"/>
    </row>
    <row r="300" spans="1:5" ht="14.25">
      <c r="A300" s="45"/>
      <c r="B300" s="45"/>
      <c r="C300" s="45"/>
      <c r="D300" s="45"/>
      <c r="E300" s="45"/>
    </row>
    <row r="301" spans="1:5" ht="14.25">
      <c r="A301" s="45"/>
      <c r="B301" s="45"/>
      <c r="C301" s="45"/>
      <c r="D301" s="45"/>
      <c r="E301" s="45"/>
    </row>
    <row r="302" spans="1:5" ht="14.25">
      <c r="A302" s="45"/>
      <c r="B302" s="45"/>
      <c r="C302" s="45"/>
      <c r="D302" s="45"/>
      <c r="E302" s="45"/>
    </row>
    <row r="303" spans="1:5" ht="14.25">
      <c r="A303" s="45"/>
      <c r="B303" s="45"/>
      <c r="C303" s="45"/>
      <c r="D303" s="45"/>
      <c r="E303" s="45"/>
    </row>
    <row r="304" spans="1:5" ht="14.25">
      <c r="A304" s="45"/>
      <c r="B304" s="45"/>
      <c r="C304" s="45"/>
      <c r="D304" s="45"/>
      <c r="E304" s="45"/>
    </row>
    <row r="305" spans="1:5" ht="14.25">
      <c r="A305" s="45"/>
      <c r="B305" s="45"/>
      <c r="C305" s="45"/>
      <c r="D305" s="45"/>
      <c r="E305" s="45"/>
    </row>
    <row r="306" spans="1:5" ht="14.25">
      <c r="A306" s="45"/>
      <c r="B306" s="45"/>
      <c r="C306" s="45"/>
      <c r="D306" s="45"/>
      <c r="E306" s="45"/>
    </row>
    <row r="307" spans="1:5" ht="14.25">
      <c r="A307" s="45"/>
      <c r="B307" s="45"/>
      <c r="C307" s="45"/>
      <c r="D307" s="45"/>
      <c r="E307" s="45"/>
    </row>
    <row r="308" spans="1:5" ht="14.25">
      <c r="A308" s="45"/>
      <c r="B308" s="45"/>
      <c r="C308" s="45"/>
      <c r="D308" s="45"/>
      <c r="E308" s="45"/>
    </row>
    <row r="309" spans="1:5" ht="14.25">
      <c r="A309" s="45"/>
      <c r="B309" s="45"/>
      <c r="C309" s="45"/>
      <c r="D309" s="45"/>
      <c r="E309" s="45"/>
    </row>
    <row r="310" spans="1:5" ht="14.25">
      <c r="A310" s="45"/>
      <c r="B310" s="45"/>
      <c r="C310" s="45"/>
      <c r="D310" s="45"/>
      <c r="E310" s="45"/>
    </row>
    <row r="311" spans="1:5" ht="14.25">
      <c r="A311" s="45"/>
      <c r="B311" s="45"/>
      <c r="C311" s="45"/>
      <c r="D311" s="45"/>
      <c r="E311" s="45"/>
    </row>
    <row r="312" spans="1:5" ht="14.25">
      <c r="A312" s="45"/>
      <c r="B312" s="45"/>
      <c r="C312" s="45"/>
      <c r="D312" s="45"/>
      <c r="E312" s="45"/>
    </row>
    <row r="313" spans="1:5" ht="14.25">
      <c r="A313" s="45"/>
      <c r="B313" s="45"/>
      <c r="C313" s="45"/>
      <c r="D313" s="45"/>
      <c r="E313" s="45"/>
    </row>
    <row r="314" spans="1:5" ht="14.25">
      <c r="A314" s="45"/>
      <c r="B314" s="45"/>
      <c r="C314" s="45"/>
      <c r="D314" s="45"/>
      <c r="E314" s="45"/>
    </row>
    <row r="315" spans="1:5" ht="14.25">
      <c r="A315" s="45"/>
      <c r="B315" s="45"/>
      <c r="C315" s="45"/>
      <c r="D315" s="45"/>
      <c r="E315" s="45"/>
    </row>
    <row r="316" spans="1:5" ht="14.25">
      <c r="A316" s="45"/>
      <c r="B316" s="45"/>
      <c r="C316" s="45"/>
      <c r="D316" s="45"/>
      <c r="E316" s="45"/>
    </row>
    <row r="317" spans="1:5" ht="14.25">
      <c r="A317" s="45"/>
      <c r="B317" s="45"/>
      <c r="C317" s="45"/>
      <c r="D317" s="45"/>
      <c r="E317" s="45"/>
    </row>
    <row r="318" spans="1:5" ht="14.25">
      <c r="A318" s="45"/>
      <c r="B318" s="45"/>
      <c r="C318" s="45"/>
      <c r="D318" s="45"/>
      <c r="E318" s="45"/>
    </row>
    <row r="319" spans="1:5" ht="14.25">
      <c r="A319" s="45"/>
      <c r="B319" s="45"/>
      <c r="C319" s="45"/>
      <c r="D319" s="45"/>
      <c r="E319" s="45"/>
    </row>
    <row r="320" spans="1:5" ht="14.25">
      <c r="A320" s="45"/>
      <c r="B320" s="45"/>
      <c r="C320" s="45"/>
      <c r="D320" s="45"/>
      <c r="E320" s="45"/>
    </row>
    <row r="321" spans="1:5" ht="14.25">
      <c r="A321" s="45"/>
      <c r="B321" s="45"/>
      <c r="C321" s="45"/>
      <c r="D321" s="45"/>
      <c r="E321" s="45"/>
    </row>
    <row r="322" spans="1:5" ht="14.25">
      <c r="A322" s="45"/>
      <c r="B322" s="45"/>
      <c r="C322" s="45"/>
      <c r="D322" s="45"/>
      <c r="E322" s="45"/>
    </row>
    <row r="323" spans="1:5" ht="14.25">
      <c r="A323" s="45"/>
      <c r="B323" s="45"/>
      <c r="C323" s="45"/>
      <c r="D323" s="45"/>
      <c r="E323" s="45"/>
    </row>
    <row r="324" spans="1:5" ht="14.25">
      <c r="A324" s="45"/>
      <c r="B324" s="45"/>
      <c r="C324" s="45"/>
      <c r="D324" s="45"/>
      <c r="E324" s="45"/>
    </row>
    <row r="325" spans="1:5" ht="14.25">
      <c r="A325" s="45"/>
      <c r="B325" s="45"/>
      <c r="C325" s="45"/>
      <c r="D325" s="45"/>
      <c r="E325" s="45"/>
    </row>
    <row r="326" spans="1:5" ht="14.25">
      <c r="A326" s="45"/>
      <c r="B326" s="45"/>
      <c r="C326" s="45"/>
      <c r="D326" s="45"/>
      <c r="E326" s="45"/>
    </row>
    <row r="327" spans="1:5" ht="14.25">
      <c r="A327" s="45"/>
      <c r="B327" s="45"/>
      <c r="C327" s="45"/>
      <c r="D327" s="45"/>
      <c r="E327" s="45"/>
    </row>
    <row r="328" spans="1:5" ht="14.25">
      <c r="A328" s="45"/>
      <c r="B328" s="45"/>
      <c r="C328" s="45"/>
      <c r="D328" s="45"/>
      <c r="E328" s="45"/>
    </row>
    <row r="329" spans="1:5" ht="14.25">
      <c r="A329" s="45"/>
      <c r="B329" s="45"/>
      <c r="C329" s="45"/>
      <c r="D329" s="45"/>
      <c r="E329" s="45"/>
    </row>
    <row r="330" spans="1:5" ht="14.25">
      <c r="A330" s="45"/>
      <c r="B330" s="45"/>
      <c r="C330" s="45"/>
      <c r="D330" s="45"/>
      <c r="E330" s="45"/>
    </row>
    <row r="331" spans="1:5" ht="14.25">
      <c r="A331" s="45"/>
      <c r="B331" s="45"/>
      <c r="C331" s="45"/>
      <c r="D331" s="45"/>
      <c r="E331" s="45"/>
    </row>
    <row r="332" spans="1:5" ht="14.25">
      <c r="A332" s="45"/>
      <c r="B332" s="45"/>
      <c r="C332" s="45"/>
      <c r="D332" s="45"/>
      <c r="E332" s="45"/>
    </row>
    <row r="333" spans="1:5" ht="14.25">
      <c r="A333" s="45"/>
      <c r="B333" s="45"/>
      <c r="C333" s="45"/>
      <c r="D333" s="45"/>
      <c r="E333" s="45"/>
    </row>
    <row r="334" spans="1:5" ht="14.25">
      <c r="A334" s="45"/>
      <c r="B334" s="45"/>
      <c r="C334" s="45"/>
      <c r="D334" s="45"/>
      <c r="E334" s="45"/>
    </row>
    <row r="335" spans="1:5" ht="14.25">
      <c r="A335" s="45"/>
      <c r="B335" s="45"/>
      <c r="C335" s="45"/>
      <c r="D335" s="45"/>
      <c r="E335" s="45"/>
    </row>
    <row r="336" spans="1:5" ht="14.25">
      <c r="A336" s="45"/>
      <c r="B336" s="45"/>
      <c r="C336" s="45"/>
      <c r="D336" s="45"/>
      <c r="E336" s="45"/>
    </row>
    <row r="337" spans="1:5" ht="14.25">
      <c r="A337" s="45"/>
      <c r="B337" s="45"/>
      <c r="C337" s="45"/>
      <c r="D337" s="45"/>
      <c r="E337" s="45"/>
    </row>
    <row r="338" spans="1:5" ht="14.25">
      <c r="A338" s="45"/>
      <c r="B338" s="45"/>
      <c r="C338" s="45"/>
      <c r="D338" s="45"/>
      <c r="E338" s="45"/>
    </row>
    <row r="339" spans="1:5" ht="14.25">
      <c r="A339" s="45"/>
      <c r="B339" s="45"/>
      <c r="C339" s="45"/>
      <c r="D339" s="45"/>
      <c r="E339" s="45"/>
    </row>
    <row r="340" spans="1:5" ht="14.25">
      <c r="A340" s="45"/>
      <c r="B340" s="45"/>
      <c r="C340" s="45"/>
      <c r="D340" s="45"/>
      <c r="E340" s="45"/>
    </row>
    <row r="341" spans="1:5" ht="14.25">
      <c r="A341" s="45"/>
      <c r="B341" s="45"/>
      <c r="C341" s="45"/>
      <c r="D341" s="45"/>
      <c r="E341" s="45"/>
    </row>
    <row r="342" spans="1:5" ht="14.25">
      <c r="A342" s="45"/>
      <c r="B342" s="45"/>
      <c r="C342" s="45"/>
      <c r="D342" s="45"/>
      <c r="E342" s="45"/>
    </row>
    <row r="343" spans="1:5" ht="14.25">
      <c r="A343" s="45"/>
      <c r="B343" s="45"/>
      <c r="C343" s="45"/>
      <c r="D343" s="45"/>
      <c r="E343" s="45"/>
    </row>
    <row r="344" spans="1:5" ht="14.25">
      <c r="A344" s="45"/>
      <c r="B344" s="45"/>
      <c r="C344" s="45"/>
      <c r="D344" s="45"/>
      <c r="E344" s="45"/>
    </row>
    <row r="345" spans="1:5" ht="14.25">
      <c r="A345" s="45"/>
      <c r="B345" s="45"/>
      <c r="C345" s="45"/>
      <c r="D345" s="45"/>
      <c r="E345" s="45"/>
    </row>
    <row r="346" spans="1:5" ht="14.25">
      <c r="A346" s="45"/>
      <c r="B346" s="45"/>
      <c r="C346" s="45"/>
      <c r="D346" s="45"/>
      <c r="E346" s="45"/>
    </row>
    <row r="347" spans="1:5" ht="14.25">
      <c r="A347" s="45"/>
      <c r="B347" s="45"/>
      <c r="C347" s="45"/>
      <c r="D347" s="45"/>
      <c r="E347" s="45"/>
    </row>
    <row r="348" spans="1:5" ht="14.25">
      <c r="A348" s="45"/>
      <c r="B348" s="45"/>
      <c r="C348" s="45"/>
      <c r="D348" s="45"/>
      <c r="E348" s="45"/>
    </row>
    <row r="349" spans="1:5" ht="14.25">
      <c r="A349" s="45"/>
      <c r="B349" s="45"/>
      <c r="C349" s="45"/>
      <c r="D349" s="45"/>
      <c r="E349" s="45"/>
    </row>
    <row r="350" spans="1:5" ht="14.25">
      <c r="A350" s="45"/>
      <c r="B350" s="45"/>
      <c r="C350" s="45"/>
      <c r="D350" s="45"/>
      <c r="E350" s="45"/>
    </row>
    <row r="351" spans="1:5" ht="14.25">
      <c r="A351" s="45"/>
      <c r="B351" s="45"/>
      <c r="C351" s="45"/>
      <c r="D351" s="45"/>
      <c r="E351" s="45"/>
    </row>
    <row r="352" spans="1:5" ht="14.25">
      <c r="A352" s="45"/>
      <c r="B352" s="45"/>
      <c r="C352" s="45"/>
      <c r="D352" s="45"/>
      <c r="E352" s="45"/>
    </row>
    <row r="353" spans="1:5" ht="14.25">
      <c r="A353" s="45"/>
      <c r="B353" s="45"/>
      <c r="C353" s="45"/>
      <c r="D353" s="45"/>
      <c r="E353" s="45"/>
    </row>
    <row r="354" spans="1:5" ht="14.25">
      <c r="A354" s="45"/>
      <c r="B354" s="45"/>
      <c r="C354" s="45"/>
      <c r="D354" s="45"/>
      <c r="E354" s="45"/>
    </row>
    <row r="355" spans="1:5" ht="14.25">
      <c r="A355" s="45"/>
      <c r="B355" s="45"/>
      <c r="C355" s="45"/>
      <c r="D355" s="45"/>
      <c r="E355" s="45"/>
    </row>
    <row r="356" spans="1:5" ht="14.25">
      <c r="A356" s="45"/>
      <c r="B356" s="45"/>
      <c r="C356" s="45"/>
      <c r="D356" s="45"/>
      <c r="E356" s="45"/>
    </row>
    <row r="357" spans="1:5" ht="14.25">
      <c r="A357" s="45"/>
      <c r="B357" s="45"/>
      <c r="C357" s="45"/>
      <c r="D357" s="45"/>
      <c r="E357" s="45"/>
    </row>
    <row r="358" spans="1:5" ht="14.25">
      <c r="A358" s="45"/>
      <c r="B358" s="45"/>
      <c r="C358" s="45"/>
      <c r="D358" s="45"/>
      <c r="E358" s="45"/>
    </row>
    <row r="359" spans="1:5" ht="14.25">
      <c r="A359" s="45"/>
      <c r="B359" s="45"/>
      <c r="C359" s="45"/>
      <c r="D359" s="45"/>
      <c r="E359" s="45"/>
    </row>
    <row r="360" spans="1:5" ht="14.25">
      <c r="A360" s="45"/>
      <c r="B360" s="45"/>
      <c r="C360" s="45"/>
      <c r="D360" s="45"/>
      <c r="E360" s="45"/>
    </row>
    <row r="361" spans="1:5" ht="14.25">
      <c r="A361" s="45"/>
      <c r="B361" s="45"/>
      <c r="C361" s="45"/>
      <c r="D361" s="45"/>
      <c r="E361" s="45"/>
    </row>
    <row r="362" spans="1:5" ht="14.25">
      <c r="A362" s="45"/>
      <c r="B362" s="45"/>
      <c r="C362" s="45"/>
      <c r="D362" s="45"/>
      <c r="E362" s="45"/>
    </row>
    <row r="363" spans="1:5" ht="14.25">
      <c r="A363" s="45"/>
      <c r="B363" s="45"/>
      <c r="C363" s="45"/>
      <c r="D363" s="45"/>
      <c r="E363" s="45"/>
    </row>
    <row r="364" spans="1:5" ht="14.25">
      <c r="A364" s="45"/>
      <c r="B364" s="45"/>
      <c r="C364" s="45"/>
      <c r="D364" s="45"/>
      <c r="E364" s="45"/>
    </row>
    <row r="365" spans="1:5" ht="14.25">
      <c r="A365" s="45"/>
      <c r="B365" s="45"/>
      <c r="C365" s="45"/>
      <c r="D365" s="45"/>
      <c r="E365" s="45"/>
    </row>
    <row r="366" spans="1:5" ht="14.25">
      <c r="A366" s="45"/>
      <c r="B366" s="45"/>
      <c r="C366" s="45"/>
      <c r="D366" s="45"/>
      <c r="E366" s="45"/>
    </row>
    <row r="367" spans="1:5" ht="14.25">
      <c r="A367" s="45"/>
      <c r="B367" s="45"/>
      <c r="C367" s="45"/>
      <c r="D367" s="45"/>
      <c r="E367" s="45"/>
    </row>
    <row r="368" spans="1:5" ht="14.25">
      <c r="A368" s="45"/>
      <c r="B368" s="45"/>
      <c r="C368" s="45"/>
      <c r="D368" s="45"/>
      <c r="E368" s="45"/>
    </row>
    <row r="369" spans="1:5" ht="14.25">
      <c r="A369" s="45"/>
      <c r="B369" s="45"/>
      <c r="C369" s="45"/>
      <c r="D369" s="45"/>
      <c r="E369" s="45"/>
    </row>
    <row r="370" spans="1:5" ht="14.25">
      <c r="A370" s="45"/>
      <c r="B370" s="45"/>
      <c r="C370" s="45"/>
      <c r="D370" s="45"/>
      <c r="E370" s="45"/>
    </row>
    <row r="371" spans="1:5" ht="14.25">
      <c r="A371" s="45"/>
      <c r="B371" s="45"/>
      <c r="C371" s="45"/>
      <c r="D371" s="45"/>
      <c r="E371" s="45"/>
    </row>
    <row r="372" spans="1:5" ht="14.25">
      <c r="A372" s="45"/>
      <c r="B372" s="45"/>
      <c r="C372" s="45"/>
      <c r="D372" s="45"/>
      <c r="E372" s="45"/>
    </row>
    <row r="373" spans="1:5" ht="14.25">
      <c r="A373" s="45"/>
      <c r="B373" s="45"/>
      <c r="C373" s="45"/>
      <c r="D373" s="45"/>
      <c r="E373" s="45"/>
    </row>
    <row r="374" spans="1:5" ht="14.25">
      <c r="A374" s="45"/>
      <c r="B374" s="45"/>
      <c r="C374" s="45"/>
      <c r="D374" s="45"/>
      <c r="E374" s="45"/>
    </row>
    <row r="375" spans="1:5" ht="14.25">
      <c r="A375" s="45"/>
      <c r="B375" s="45"/>
      <c r="C375" s="45"/>
      <c r="D375" s="45"/>
      <c r="E375" s="45"/>
    </row>
    <row r="376" spans="1:5" ht="14.25">
      <c r="A376" s="45"/>
      <c r="B376" s="45"/>
      <c r="C376" s="45"/>
      <c r="D376" s="45"/>
      <c r="E376" s="45"/>
    </row>
    <row r="377" spans="1:5" ht="14.25">
      <c r="A377" s="45"/>
      <c r="B377" s="45"/>
      <c r="C377" s="45"/>
      <c r="D377" s="45"/>
      <c r="E377" s="45"/>
    </row>
    <row r="378" spans="1:5" ht="14.25">
      <c r="A378" s="45"/>
      <c r="B378" s="45"/>
      <c r="C378" s="45"/>
      <c r="D378" s="45"/>
      <c r="E378" s="45"/>
    </row>
    <row r="379" spans="1:5" ht="14.25">
      <c r="A379" s="45"/>
      <c r="B379" s="45"/>
      <c r="C379" s="45"/>
      <c r="D379" s="45"/>
      <c r="E379" s="45"/>
    </row>
    <row r="380" spans="1:5" ht="14.25">
      <c r="A380" s="45"/>
      <c r="B380" s="45"/>
      <c r="C380" s="45"/>
      <c r="D380" s="45"/>
      <c r="E380" s="45"/>
    </row>
    <row r="381" spans="1:5" ht="14.25">
      <c r="A381" s="45"/>
      <c r="B381" s="45"/>
      <c r="C381" s="45"/>
      <c r="D381" s="45"/>
      <c r="E381" s="45"/>
    </row>
    <row r="382" spans="1:5" ht="14.25">
      <c r="A382" s="45"/>
      <c r="B382" s="45"/>
      <c r="C382" s="45"/>
      <c r="D382" s="45"/>
      <c r="E382" s="45"/>
    </row>
    <row r="383" spans="1:5" ht="14.25">
      <c r="A383" s="45"/>
      <c r="B383" s="45"/>
      <c r="C383" s="45"/>
      <c r="D383" s="45"/>
      <c r="E383" s="45"/>
    </row>
    <row r="384" spans="1:5" ht="14.25">
      <c r="A384" s="45"/>
      <c r="B384" s="45"/>
      <c r="C384" s="45"/>
      <c r="D384" s="45"/>
      <c r="E384" s="45"/>
    </row>
    <row r="385" spans="1:5" ht="14.25">
      <c r="A385" s="45"/>
      <c r="B385" s="45"/>
      <c r="C385" s="45"/>
      <c r="D385" s="45"/>
      <c r="E385" s="45"/>
    </row>
    <row r="386" spans="1:5" ht="14.25">
      <c r="A386" s="45"/>
      <c r="B386" s="45"/>
      <c r="C386" s="45"/>
      <c r="D386" s="45"/>
      <c r="E386" s="45"/>
    </row>
    <row r="387" spans="1:5" ht="14.25">
      <c r="A387" s="45"/>
      <c r="B387" s="45"/>
      <c r="C387" s="45"/>
      <c r="D387" s="45"/>
      <c r="E387" s="45"/>
    </row>
    <row r="388" spans="1:5" ht="14.25">
      <c r="A388" s="45"/>
      <c r="B388" s="45"/>
      <c r="C388" s="45"/>
      <c r="D388" s="45"/>
      <c r="E388" s="45"/>
    </row>
    <row r="389" spans="1:5" ht="14.25">
      <c r="A389" s="45"/>
      <c r="B389" s="45"/>
      <c r="C389" s="45"/>
      <c r="D389" s="45"/>
      <c r="E389" s="45"/>
    </row>
    <row r="390" spans="1:5" ht="14.25">
      <c r="A390" s="45"/>
      <c r="B390" s="45"/>
      <c r="C390" s="45"/>
      <c r="D390" s="45"/>
      <c r="E390" s="45"/>
    </row>
    <row r="391" spans="1:5" ht="14.25">
      <c r="A391" s="45"/>
      <c r="B391" s="45"/>
      <c r="C391" s="45"/>
      <c r="D391" s="45"/>
      <c r="E391" s="45"/>
    </row>
    <row r="392" spans="1:5" ht="14.25">
      <c r="A392" s="45"/>
      <c r="B392" s="45"/>
      <c r="C392" s="45"/>
      <c r="D392" s="45"/>
      <c r="E392" s="45"/>
    </row>
    <row r="393" spans="1:5" ht="14.25">
      <c r="A393" s="45"/>
      <c r="B393" s="45"/>
      <c r="C393" s="45"/>
      <c r="D393" s="45"/>
      <c r="E393" s="45"/>
    </row>
    <row r="394" spans="1:5" ht="14.25">
      <c r="A394" s="45"/>
      <c r="B394" s="45"/>
      <c r="C394" s="45"/>
      <c r="D394" s="45"/>
      <c r="E394" s="45"/>
    </row>
    <row r="395" spans="1:5" ht="14.25">
      <c r="A395" s="45"/>
      <c r="B395" s="45"/>
      <c r="C395" s="45"/>
      <c r="D395" s="45"/>
      <c r="E395" s="45"/>
    </row>
    <row r="396" spans="1:5" ht="14.25">
      <c r="A396" s="45"/>
      <c r="B396" s="45"/>
      <c r="C396" s="45"/>
      <c r="D396" s="45"/>
      <c r="E396" s="45"/>
    </row>
    <row r="397" spans="1:5" ht="14.25">
      <c r="A397" s="45"/>
      <c r="B397" s="45"/>
      <c r="C397" s="45"/>
      <c r="D397" s="45"/>
      <c r="E397" s="45"/>
    </row>
    <row r="398" spans="1:5" ht="14.25">
      <c r="A398" s="45"/>
      <c r="B398" s="45"/>
      <c r="C398" s="45"/>
      <c r="D398" s="45"/>
      <c r="E398" s="45"/>
    </row>
    <row r="399" spans="1:5" ht="14.25">
      <c r="A399" s="45"/>
      <c r="B399" s="45"/>
      <c r="C399" s="45"/>
      <c r="D399" s="45"/>
      <c r="E399" s="45"/>
    </row>
    <row r="400" spans="1:5" ht="14.25">
      <c r="A400" s="45"/>
      <c r="B400" s="45"/>
      <c r="C400" s="45"/>
      <c r="D400" s="45"/>
      <c r="E400" s="45"/>
    </row>
    <row r="401" spans="1:5" ht="14.25">
      <c r="A401" s="45"/>
      <c r="B401" s="45"/>
      <c r="C401" s="45"/>
      <c r="D401" s="45"/>
      <c r="E401" s="45"/>
    </row>
    <row r="402" spans="1:5" ht="14.25">
      <c r="A402" s="45"/>
      <c r="B402" s="45"/>
      <c r="C402" s="45"/>
      <c r="D402" s="45"/>
      <c r="E402" s="45"/>
    </row>
    <row r="403" spans="1:5" ht="14.25">
      <c r="A403" s="45"/>
      <c r="B403" s="45"/>
      <c r="C403" s="45"/>
      <c r="D403" s="45"/>
      <c r="E403" s="45"/>
    </row>
    <row r="404" spans="1:5" ht="14.25">
      <c r="A404" s="45"/>
      <c r="B404" s="45"/>
      <c r="C404" s="45"/>
      <c r="D404" s="45"/>
      <c r="E404" s="45"/>
    </row>
    <row r="405" spans="1:5" ht="14.25">
      <c r="A405" s="45"/>
      <c r="B405" s="45"/>
      <c r="C405" s="45"/>
      <c r="D405" s="45"/>
      <c r="E405" s="45"/>
    </row>
    <row r="406" spans="1:5" ht="14.25">
      <c r="A406" s="45"/>
      <c r="B406" s="45"/>
      <c r="C406" s="45"/>
      <c r="D406" s="45"/>
      <c r="E406" s="45"/>
    </row>
    <row r="407" spans="1:5" ht="14.25">
      <c r="A407" s="45"/>
      <c r="B407" s="45"/>
      <c r="C407" s="45"/>
      <c r="D407" s="45"/>
      <c r="E407" s="45"/>
    </row>
    <row r="408" spans="1:5" ht="14.25">
      <c r="A408" s="45"/>
      <c r="B408" s="45"/>
      <c r="C408" s="45"/>
      <c r="D408" s="45"/>
      <c r="E408" s="45"/>
    </row>
    <row r="409" spans="1:5" ht="14.25">
      <c r="A409" s="45"/>
      <c r="B409" s="45"/>
      <c r="C409" s="45"/>
      <c r="D409" s="45"/>
      <c r="E409" s="45"/>
    </row>
    <row r="410" spans="1:5" ht="14.25">
      <c r="A410" s="45"/>
      <c r="B410" s="45"/>
      <c r="C410" s="45"/>
      <c r="D410" s="45"/>
      <c r="E410" s="45"/>
    </row>
    <row r="411" spans="1:5" ht="14.25">
      <c r="A411" s="45"/>
      <c r="B411" s="45"/>
      <c r="C411" s="45"/>
      <c r="D411" s="45"/>
      <c r="E411" s="45"/>
    </row>
    <row r="412" spans="1:5" ht="14.25">
      <c r="A412" s="45"/>
      <c r="B412" s="45"/>
      <c r="C412" s="45"/>
      <c r="D412" s="45"/>
      <c r="E412" s="45"/>
    </row>
    <row r="413" spans="1:5" ht="14.25">
      <c r="A413" s="45"/>
      <c r="B413" s="45"/>
      <c r="C413" s="45"/>
      <c r="D413" s="45"/>
      <c r="E413" s="45"/>
    </row>
    <row r="414" spans="1:5" ht="14.25">
      <c r="A414" s="45"/>
      <c r="B414" s="45"/>
      <c r="C414" s="45"/>
      <c r="D414" s="45"/>
      <c r="E414" s="45"/>
    </row>
    <row r="415" spans="1:5" ht="14.25">
      <c r="A415" s="45"/>
      <c r="B415" s="45"/>
      <c r="C415" s="45"/>
      <c r="D415" s="45"/>
      <c r="E415" s="45"/>
    </row>
    <row r="416" spans="1:5" ht="14.25">
      <c r="A416" s="45"/>
      <c r="B416" s="45"/>
      <c r="C416" s="45"/>
      <c r="D416" s="45"/>
      <c r="E416" s="45"/>
    </row>
    <row r="417" spans="1:5" ht="14.25">
      <c r="A417" s="45"/>
      <c r="B417" s="45"/>
      <c r="C417" s="45"/>
      <c r="D417" s="45"/>
      <c r="E417" s="45"/>
    </row>
    <row r="418" spans="1:5" ht="14.25">
      <c r="A418" s="45"/>
      <c r="B418" s="45"/>
      <c r="C418" s="45"/>
      <c r="D418" s="45"/>
      <c r="E418" s="45"/>
    </row>
    <row r="419" spans="1:5" ht="14.25">
      <c r="A419" s="45"/>
      <c r="B419" s="45"/>
      <c r="C419" s="45"/>
      <c r="D419" s="45"/>
      <c r="E419" s="45"/>
    </row>
    <row r="420" spans="1:5" ht="14.25">
      <c r="A420" s="45"/>
      <c r="B420" s="45"/>
      <c r="C420" s="45"/>
      <c r="D420" s="45"/>
      <c r="E420" s="45"/>
    </row>
    <row r="421" spans="1:5" ht="14.25">
      <c r="A421" s="45"/>
      <c r="B421" s="45"/>
      <c r="C421" s="45"/>
      <c r="D421" s="45"/>
      <c r="E421" s="45"/>
    </row>
    <row r="422" spans="1:5" ht="14.25">
      <c r="A422" s="45"/>
      <c r="B422" s="45"/>
      <c r="C422" s="45"/>
      <c r="D422" s="45"/>
      <c r="E422" s="45"/>
    </row>
    <row r="423" spans="1:5" ht="14.25">
      <c r="A423" s="45"/>
      <c r="B423" s="45"/>
      <c r="C423" s="45"/>
      <c r="D423" s="45"/>
      <c r="E423" s="45"/>
    </row>
    <row r="424" spans="1:5" ht="14.25">
      <c r="A424" s="45"/>
      <c r="B424" s="45"/>
      <c r="C424" s="45"/>
      <c r="D424" s="45"/>
      <c r="E424" s="45"/>
    </row>
    <row r="425" spans="1:5" ht="14.25">
      <c r="A425" s="45"/>
      <c r="B425" s="45"/>
      <c r="C425" s="45"/>
      <c r="D425" s="45"/>
      <c r="E425" s="45"/>
    </row>
    <row r="426" spans="1:5" ht="14.25">
      <c r="A426" s="45"/>
      <c r="B426" s="45"/>
      <c r="C426" s="45"/>
      <c r="D426" s="45"/>
      <c r="E426" s="45"/>
    </row>
    <row r="427" spans="1:5" ht="14.25">
      <c r="A427" s="45"/>
      <c r="B427" s="45"/>
      <c r="C427" s="45"/>
      <c r="D427" s="45"/>
      <c r="E427" s="45"/>
    </row>
    <row r="428" spans="1:5" ht="14.25">
      <c r="A428" s="45"/>
      <c r="B428" s="45"/>
      <c r="C428" s="45"/>
      <c r="D428" s="45"/>
      <c r="E428" s="45"/>
    </row>
    <row r="429" spans="1:5" ht="14.25">
      <c r="A429" s="45"/>
      <c r="B429" s="45"/>
      <c r="C429" s="45"/>
      <c r="D429" s="45"/>
      <c r="E429" s="45"/>
    </row>
    <row r="430" spans="1:5" ht="14.25">
      <c r="A430" s="45"/>
      <c r="B430" s="45"/>
      <c r="C430" s="45"/>
      <c r="D430" s="45"/>
      <c r="E430" s="45"/>
    </row>
    <row r="431" spans="1:5" ht="14.25">
      <c r="A431" s="45"/>
      <c r="B431" s="45"/>
      <c r="C431" s="45"/>
      <c r="D431" s="45"/>
      <c r="E431" s="45"/>
    </row>
    <row r="432" spans="1:5" ht="14.25">
      <c r="A432" s="45"/>
      <c r="B432" s="45"/>
      <c r="C432" s="45"/>
      <c r="D432" s="45"/>
      <c r="E432" s="45"/>
    </row>
    <row r="433" spans="1:5" ht="14.25">
      <c r="A433" s="45"/>
      <c r="B433" s="45"/>
      <c r="C433" s="45"/>
      <c r="D433" s="45"/>
      <c r="E433" s="45"/>
    </row>
    <row r="434" spans="1:5" ht="14.25">
      <c r="A434" s="45"/>
      <c r="B434" s="45"/>
      <c r="C434" s="45"/>
      <c r="D434" s="45"/>
      <c r="E434" s="45"/>
    </row>
    <row r="435" spans="1:5" ht="14.25">
      <c r="A435" s="45"/>
      <c r="B435" s="45"/>
      <c r="C435" s="45"/>
      <c r="D435" s="45"/>
      <c r="E435" s="45"/>
    </row>
    <row r="436" spans="1:5" ht="14.25">
      <c r="A436" s="45"/>
      <c r="B436" s="45"/>
      <c r="C436" s="45"/>
      <c r="D436" s="45"/>
      <c r="E436" s="45"/>
    </row>
    <row r="437" spans="1:5" ht="14.25">
      <c r="A437" s="45"/>
      <c r="B437" s="45"/>
      <c r="C437" s="45"/>
      <c r="D437" s="45"/>
      <c r="E437" s="45"/>
    </row>
    <row r="438" spans="1:5" ht="14.25">
      <c r="A438" s="45"/>
      <c r="B438" s="45"/>
      <c r="C438" s="45"/>
      <c r="D438" s="45"/>
      <c r="E438" s="45"/>
    </row>
    <row r="439" spans="1:5" ht="14.25">
      <c r="A439" s="45"/>
      <c r="B439" s="45"/>
      <c r="C439" s="45"/>
      <c r="D439" s="45"/>
      <c r="E439" s="45"/>
    </row>
    <row r="440" spans="1:5" ht="14.25">
      <c r="A440" s="45"/>
      <c r="B440" s="45"/>
      <c r="C440" s="45"/>
      <c r="D440" s="45"/>
      <c r="E440" s="45"/>
    </row>
    <row r="441" spans="1:5" ht="14.25">
      <c r="A441" s="45"/>
      <c r="B441" s="45"/>
      <c r="C441" s="45"/>
      <c r="D441" s="45"/>
      <c r="E441" s="45"/>
    </row>
    <row r="442" spans="1:5" ht="14.25">
      <c r="A442" s="45"/>
      <c r="B442" s="45"/>
      <c r="C442" s="45"/>
      <c r="D442" s="45"/>
      <c r="E442" s="45"/>
    </row>
    <row r="443" spans="1:5" ht="14.25">
      <c r="A443" s="45"/>
      <c r="B443" s="45"/>
      <c r="C443" s="45"/>
      <c r="D443" s="45"/>
      <c r="E443" s="45"/>
    </row>
    <row r="444" spans="1:5" ht="14.25">
      <c r="A444" s="45"/>
      <c r="B444" s="45"/>
      <c r="C444" s="45"/>
      <c r="D444" s="45"/>
      <c r="E444" s="45"/>
    </row>
    <row r="445" spans="1:5" ht="14.25">
      <c r="A445" s="45"/>
      <c r="B445" s="45"/>
      <c r="C445" s="45"/>
      <c r="D445" s="45"/>
      <c r="E445" s="45"/>
    </row>
    <row r="446" spans="1:5" ht="14.25">
      <c r="A446" s="45"/>
      <c r="B446" s="45"/>
      <c r="C446" s="45"/>
      <c r="D446" s="45"/>
      <c r="E446" s="45"/>
    </row>
    <row r="447" spans="1:5" ht="14.25">
      <c r="A447" s="45"/>
      <c r="B447" s="45"/>
      <c r="C447" s="45"/>
      <c r="D447" s="45"/>
      <c r="E447" s="45"/>
    </row>
    <row r="448" spans="1:5" ht="14.25">
      <c r="A448" s="45"/>
      <c r="B448" s="45"/>
      <c r="C448" s="45"/>
      <c r="D448" s="45"/>
      <c r="E448" s="45"/>
    </row>
    <row r="449" spans="1:5" ht="14.25">
      <c r="A449" s="45"/>
      <c r="B449" s="45"/>
      <c r="C449" s="45"/>
      <c r="D449" s="45"/>
      <c r="E449" s="45"/>
    </row>
    <row r="450" spans="1:5" ht="14.25">
      <c r="A450" s="45"/>
      <c r="B450" s="45"/>
      <c r="C450" s="45"/>
      <c r="D450" s="45"/>
      <c r="E450" s="45"/>
    </row>
    <row r="451" spans="1:5" ht="14.25">
      <c r="A451" s="45"/>
      <c r="B451" s="45"/>
      <c r="C451" s="45"/>
      <c r="D451" s="45"/>
      <c r="E451" s="45"/>
    </row>
    <row r="452" spans="1:5" ht="14.25">
      <c r="A452" s="45"/>
      <c r="B452" s="45"/>
      <c r="C452" s="45"/>
      <c r="D452" s="45"/>
      <c r="E452" s="45"/>
    </row>
    <row r="453" spans="1:5" ht="14.25">
      <c r="A453" s="45"/>
      <c r="B453" s="45"/>
      <c r="C453" s="45"/>
      <c r="D453" s="45"/>
      <c r="E453" s="45"/>
    </row>
    <row r="454" spans="1:5" ht="14.25">
      <c r="A454" s="45"/>
      <c r="B454" s="45"/>
      <c r="C454" s="45"/>
      <c r="D454" s="45"/>
      <c r="E454" s="45"/>
    </row>
    <row r="455" spans="1:5" ht="14.25">
      <c r="A455" s="45"/>
      <c r="B455" s="45"/>
      <c r="C455" s="45"/>
      <c r="D455" s="45"/>
      <c r="E455" s="45"/>
    </row>
    <row r="456" spans="1:5" ht="14.25">
      <c r="A456" s="45"/>
      <c r="B456" s="45"/>
      <c r="C456" s="45"/>
      <c r="D456" s="45"/>
      <c r="E456" s="45"/>
    </row>
    <row r="457" spans="1:5" ht="14.25">
      <c r="A457" s="45"/>
      <c r="B457" s="45"/>
      <c r="C457" s="45"/>
      <c r="D457" s="45"/>
      <c r="E457" s="45"/>
    </row>
    <row r="458" spans="1:5" ht="14.25">
      <c r="A458" s="45"/>
      <c r="B458" s="45"/>
      <c r="C458" s="45"/>
      <c r="D458" s="45"/>
      <c r="E458" s="45"/>
    </row>
    <row r="459" spans="1:5" ht="14.25">
      <c r="A459" s="45"/>
      <c r="B459" s="45"/>
      <c r="C459" s="45"/>
      <c r="D459" s="45"/>
      <c r="E459" s="45"/>
    </row>
    <row r="460" spans="1:5" ht="14.25">
      <c r="A460" s="45"/>
      <c r="B460" s="45"/>
      <c r="C460" s="45"/>
      <c r="D460" s="45"/>
      <c r="E460" s="45"/>
    </row>
    <row r="461" spans="1:5" ht="14.25">
      <c r="A461" s="45"/>
      <c r="B461" s="45"/>
      <c r="C461" s="45"/>
      <c r="D461" s="45"/>
      <c r="E461" s="45"/>
    </row>
    <row r="462" spans="1:5" ht="14.25">
      <c r="A462" s="45"/>
      <c r="B462" s="45"/>
      <c r="C462" s="45"/>
      <c r="D462" s="45"/>
      <c r="E462" s="45"/>
    </row>
    <row r="463" spans="1:5" ht="14.25">
      <c r="A463" s="45"/>
      <c r="B463" s="45"/>
      <c r="C463" s="45"/>
      <c r="D463" s="45"/>
      <c r="E463" s="45"/>
    </row>
    <row r="464" spans="1:5" ht="14.25">
      <c r="A464" s="45"/>
      <c r="B464" s="45"/>
      <c r="C464" s="45"/>
      <c r="D464" s="45"/>
      <c r="E464" s="45"/>
    </row>
    <row r="465" spans="1:5" ht="14.25">
      <c r="A465" s="45"/>
      <c r="B465" s="45"/>
      <c r="C465" s="45"/>
      <c r="D465" s="45"/>
      <c r="E465" s="45"/>
    </row>
    <row r="466" spans="1:5" ht="14.25">
      <c r="A466" s="45"/>
      <c r="B466" s="45"/>
      <c r="C466" s="45"/>
      <c r="D466" s="45"/>
      <c r="E466" s="45"/>
    </row>
    <row r="467" spans="1:5" ht="14.25">
      <c r="A467" s="45"/>
      <c r="B467" s="45"/>
      <c r="C467" s="45"/>
      <c r="D467" s="45"/>
      <c r="E467" s="45"/>
    </row>
    <row r="468" spans="1:5" ht="14.25">
      <c r="A468" s="45"/>
      <c r="B468" s="45"/>
      <c r="C468" s="45"/>
      <c r="D468" s="45"/>
      <c r="E468" s="45"/>
    </row>
    <row r="469" spans="1:5" ht="14.25">
      <c r="A469" s="45"/>
      <c r="B469" s="45"/>
      <c r="C469" s="45"/>
      <c r="D469" s="45"/>
      <c r="E469" s="45"/>
    </row>
    <row r="470" spans="1:5" ht="14.25">
      <c r="A470" s="45"/>
      <c r="B470" s="45"/>
      <c r="C470" s="45"/>
      <c r="D470" s="45"/>
      <c r="E470" s="45"/>
    </row>
    <row r="471" spans="1:5" ht="14.25">
      <c r="A471" s="45"/>
      <c r="B471" s="45"/>
      <c r="C471" s="45"/>
      <c r="D471" s="45"/>
      <c r="E471" s="45"/>
    </row>
    <row r="472" spans="1:5" ht="14.25">
      <c r="A472" s="45"/>
      <c r="B472" s="45"/>
      <c r="C472" s="45"/>
      <c r="D472" s="45"/>
      <c r="E472" s="45"/>
    </row>
    <row r="473" spans="1:5" ht="14.25">
      <c r="A473" s="45"/>
      <c r="B473" s="45"/>
      <c r="C473" s="45"/>
      <c r="D473" s="45"/>
      <c r="E473" s="45"/>
    </row>
    <row r="474" spans="1:5" ht="14.25">
      <c r="A474" s="45"/>
      <c r="B474" s="45"/>
      <c r="C474" s="45"/>
      <c r="D474" s="45"/>
      <c r="E474" s="45"/>
    </row>
    <row r="475" spans="1:5" ht="14.25">
      <c r="A475" s="45"/>
      <c r="B475" s="45"/>
      <c r="C475" s="45"/>
      <c r="D475" s="45"/>
      <c r="E475" s="45"/>
    </row>
    <row r="476" spans="1:5" ht="14.25">
      <c r="A476" s="45"/>
      <c r="B476" s="45"/>
      <c r="C476" s="45"/>
      <c r="D476" s="45"/>
      <c r="E476" s="45"/>
    </row>
    <row r="477" spans="1:5" ht="14.25">
      <c r="A477" s="45"/>
      <c r="B477" s="45"/>
      <c r="C477" s="45"/>
      <c r="D477" s="45"/>
      <c r="E477" s="45"/>
    </row>
    <row r="478" spans="1:5" ht="14.25">
      <c r="A478" s="45"/>
      <c r="B478" s="45"/>
      <c r="C478" s="45"/>
      <c r="D478" s="45"/>
      <c r="E478" s="45"/>
    </row>
    <row r="479" spans="1:5" ht="14.25">
      <c r="A479" s="45"/>
      <c r="B479" s="45"/>
      <c r="C479" s="45"/>
      <c r="D479" s="45"/>
      <c r="E479" s="45"/>
    </row>
    <row r="480" spans="1:5" ht="14.25">
      <c r="A480" s="45"/>
      <c r="B480" s="45"/>
      <c r="C480" s="45"/>
      <c r="D480" s="45"/>
      <c r="E480" s="45"/>
    </row>
    <row r="481" spans="1:5" ht="14.25">
      <c r="A481" s="45"/>
      <c r="B481" s="45"/>
      <c r="C481" s="45"/>
      <c r="D481" s="45"/>
      <c r="E481" s="45"/>
    </row>
    <row r="482" spans="1:5" ht="14.25">
      <c r="A482" s="45"/>
      <c r="B482" s="45"/>
      <c r="C482" s="45"/>
      <c r="D482" s="45"/>
      <c r="E482" s="45"/>
    </row>
    <row r="483" spans="1:5" ht="14.25">
      <c r="A483" s="45"/>
      <c r="B483" s="45"/>
      <c r="C483" s="45"/>
      <c r="D483" s="45"/>
      <c r="E483" s="45"/>
    </row>
    <row r="484" spans="1:5" ht="14.25">
      <c r="A484" s="45"/>
      <c r="B484" s="45"/>
      <c r="C484" s="45"/>
      <c r="D484" s="45"/>
      <c r="E484" s="45"/>
    </row>
    <row r="485" spans="1:5" ht="14.25">
      <c r="A485" s="45"/>
      <c r="B485" s="45"/>
      <c r="C485" s="45"/>
      <c r="D485" s="45"/>
      <c r="E485" s="45"/>
    </row>
    <row r="486" spans="1:5" ht="14.25">
      <c r="A486" s="45"/>
      <c r="B486" s="45"/>
      <c r="C486" s="45"/>
      <c r="D486" s="45"/>
      <c r="E486" s="45"/>
    </row>
    <row r="487" spans="1:5" ht="14.25">
      <c r="A487" s="45"/>
      <c r="B487" s="45"/>
      <c r="C487" s="45"/>
      <c r="D487" s="45"/>
      <c r="E487" s="45"/>
    </row>
    <row r="488" spans="1:5" ht="14.25">
      <c r="A488" s="45"/>
      <c r="B488" s="45"/>
      <c r="C488" s="45"/>
      <c r="D488" s="45"/>
      <c r="E488" s="45"/>
    </row>
    <row r="489" spans="1:5" ht="14.25">
      <c r="A489" s="45"/>
      <c r="B489" s="45"/>
      <c r="C489" s="45"/>
      <c r="D489" s="45"/>
      <c r="E489" s="45"/>
    </row>
    <row r="490" spans="1:5" ht="14.25">
      <c r="A490" s="45"/>
      <c r="B490" s="45"/>
      <c r="C490" s="45"/>
      <c r="D490" s="45"/>
      <c r="E490" s="45"/>
    </row>
    <row r="491" spans="1:5" ht="14.25">
      <c r="A491" s="45"/>
      <c r="B491" s="45"/>
      <c r="C491" s="45"/>
      <c r="D491" s="45"/>
      <c r="E491" s="45"/>
    </row>
    <row r="492" spans="1:5" ht="14.25">
      <c r="A492" s="45"/>
      <c r="B492" s="45"/>
      <c r="C492" s="45"/>
      <c r="D492" s="45"/>
      <c r="E492" s="45"/>
    </row>
    <row r="493" spans="1:5" ht="14.25">
      <c r="A493" s="45"/>
      <c r="B493" s="45"/>
      <c r="C493" s="45"/>
      <c r="D493" s="45"/>
      <c r="E493" s="45"/>
    </row>
    <row r="494" spans="1:5" ht="14.25">
      <c r="A494" s="45"/>
      <c r="B494" s="45"/>
      <c r="C494" s="45"/>
      <c r="D494" s="45"/>
      <c r="E494" s="45"/>
    </row>
    <row r="495" spans="1:5" ht="14.25">
      <c r="A495" s="45"/>
      <c r="B495" s="45"/>
      <c r="C495" s="45"/>
      <c r="D495" s="45"/>
      <c r="E495" s="45"/>
    </row>
    <row r="496" spans="1:5" ht="14.25">
      <c r="A496" s="45"/>
      <c r="B496" s="45"/>
      <c r="C496" s="45"/>
      <c r="D496" s="45"/>
      <c r="E496" s="45"/>
    </row>
    <row r="497" spans="1:5" ht="14.25">
      <c r="A497" s="45"/>
      <c r="B497" s="45"/>
      <c r="C497" s="45"/>
      <c r="D497" s="45"/>
      <c r="E497" s="45"/>
    </row>
    <row r="498" spans="1:5" ht="14.25">
      <c r="A498" s="45"/>
      <c r="B498" s="45"/>
      <c r="C498" s="45"/>
      <c r="D498" s="45"/>
      <c r="E498" s="45"/>
    </row>
    <row r="499" spans="1:5" ht="14.25">
      <c r="A499" s="45"/>
      <c r="B499" s="45"/>
      <c r="C499" s="45"/>
      <c r="D499" s="45"/>
      <c r="E499" s="45"/>
    </row>
    <row r="500" spans="1:5" ht="14.25">
      <c r="A500" s="45"/>
      <c r="B500" s="45"/>
      <c r="C500" s="45"/>
      <c r="D500" s="45"/>
      <c r="E500" s="45"/>
    </row>
    <row r="501" spans="1:5" ht="14.25">
      <c r="A501" s="45"/>
      <c r="B501" s="45"/>
      <c r="C501" s="45"/>
      <c r="D501" s="45"/>
      <c r="E501" s="45"/>
    </row>
    <row r="502" spans="1:5" ht="14.25">
      <c r="A502" s="45"/>
      <c r="B502" s="45"/>
      <c r="C502" s="45"/>
      <c r="D502" s="45"/>
      <c r="E502" s="45"/>
    </row>
    <row r="503" spans="1:5" ht="14.25">
      <c r="A503" s="45"/>
      <c r="B503" s="45"/>
      <c r="C503" s="45"/>
      <c r="D503" s="45"/>
      <c r="E503" s="45"/>
    </row>
    <row r="504" spans="1:5" ht="14.25">
      <c r="A504" s="45"/>
      <c r="B504" s="45"/>
      <c r="C504" s="45"/>
      <c r="D504" s="45"/>
      <c r="E504" s="45"/>
    </row>
    <row r="505" spans="1:5" ht="14.25">
      <c r="A505" s="45"/>
      <c r="B505" s="45"/>
      <c r="C505" s="45"/>
      <c r="D505" s="45"/>
      <c r="E505" s="45"/>
    </row>
    <row r="506" spans="1:5" ht="14.25">
      <c r="A506" s="45"/>
      <c r="B506" s="45"/>
      <c r="C506" s="45"/>
      <c r="D506" s="45"/>
      <c r="E506" s="45"/>
    </row>
    <row r="507" spans="1:5" ht="14.25">
      <c r="A507" s="45"/>
      <c r="B507" s="45"/>
      <c r="C507" s="45"/>
      <c r="D507" s="45"/>
      <c r="E507" s="45"/>
    </row>
    <row r="508" spans="1:5" ht="14.25">
      <c r="A508" s="45"/>
      <c r="B508" s="45"/>
      <c r="C508" s="45"/>
      <c r="D508" s="45"/>
      <c r="E508" s="45"/>
    </row>
    <row r="509" spans="1:5" ht="14.25">
      <c r="A509" s="45"/>
      <c r="B509" s="45"/>
      <c r="C509" s="45"/>
      <c r="D509" s="45"/>
      <c r="E509" s="45"/>
    </row>
    <row r="510" spans="1:5" ht="14.25">
      <c r="A510" s="45"/>
      <c r="B510" s="45"/>
      <c r="C510" s="45"/>
      <c r="D510" s="45"/>
      <c r="E510" s="45"/>
    </row>
    <row r="511" spans="1:5" ht="14.25">
      <c r="A511" s="45"/>
      <c r="B511" s="45"/>
      <c r="C511" s="45"/>
      <c r="D511" s="45"/>
      <c r="E511" s="45"/>
    </row>
    <row r="512" spans="1:5" ht="14.25">
      <c r="A512" s="45"/>
      <c r="B512" s="45"/>
      <c r="C512" s="45"/>
      <c r="D512" s="45"/>
      <c r="E512" s="45"/>
    </row>
    <row r="513" spans="1:5" ht="14.25">
      <c r="A513" s="45"/>
      <c r="B513" s="45"/>
      <c r="C513" s="45"/>
      <c r="D513" s="45"/>
      <c r="E513" s="45"/>
    </row>
    <row r="514" spans="1:5" ht="14.25">
      <c r="A514" s="45"/>
      <c r="B514" s="45"/>
      <c r="C514" s="45"/>
      <c r="D514" s="45"/>
      <c r="E514" s="45"/>
    </row>
    <row r="515" spans="1:5" ht="14.25">
      <c r="A515" s="45"/>
      <c r="B515" s="45"/>
      <c r="C515" s="45"/>
      <c r="D515" s="45"/>
      <c r="E515" s="45"/>
    </row>
    <row r="516" spans="1:5" ht="14.25">
      <c r="A516" s="45"/>
      <c r="B516" s="45"/>
      <c r="C516" s="45"/>
      <c r="D516" s="45"/>
      <c r="E516" s="45"/>
    </row>
    <row r="517" spans="1:5" ht="14.25">
      <c r="A517" s="45"/>
      <c r="B517" s="45"/>
      <c r="C517" s="45"/>
      <c r="D517" s="45"/>
      <c r="E517" s="45"/>
    </row>
    <row r="518" spans="1:5" ht="14.25">
      <c r="A518" s="45"/>
      <c r="B518" s="45"/>
      <c r="C518" s="45"/>
      <c r="D518" s="45"/>
      <c r="E518" s="45"/>
    </row>
    <row r="519" spans="1:5" ht="14.25">
      <c r="A519" s="45"/>
      <c r="B519" s="45"/>
      <c r="C519" s="45"/>
      <c r="D519" s="45"/>
      <c r="E519" s="45"/>
    </row>
    <row r="520" spans="1:5" ht="14.25">
      <c r="A520" s="45"/>
      <c r="B520" s="45"/>
      <c r="C520" s="45"/>
      <c r="D520" s="45"/>
      <c r="E520" s="45"/>
    </row>
    <row r="521" spans="1:5" ht="14.25">
      <c r="A521" s="45"/>
      <c r="B521" s="45"/>
      <c r="C521" s="45"/>
      <c r="D521" s="45"/>
      <c r="E521" s="45"/>
    </row>
    <row r="522" spans="1:5" ht="14.25">
      <c r="A522" s="45"/>
      <c r="B522" s="45"/>
      <c r="C522" s="45"/>
      <c r="D522" s="45"/>
      <c r="E522" s="45"/>
    </row>
    <row r="523" spans="1:5" ht="14.25">
      <c r="A523" s="45"/>
      <c r="B523" s="45"/>
      <c r="C523" s="45"/>
      <c r="D523" s="45"/>
      <c r="E523" s="45"/>
    </row>
    <row r="524" spans="1:5" ht="14.25">
      <c r="A524" s="45"/>
      <c r="B524" s="45"/>
      <c r="C524" s="45"/>
      <c r="D524" s="45"/>
      <c r="E524" s="45"/>
    </row>
    <row r="525" spans="1:5" ht="14.25">
      <c r="A525" s="45"/>
      <c r="B525" s="45"/>
      <c r="C525" s="45"/>
      <c r="D525" s="45"/>
      <c r="E525" s="45"/>
    </row>
    <row r="526" spans="1:5" ht="14.25">
      <c r="A526" s="45"/>
      <c r="B526" s="45"/>
      <c r="C526" s="45"/>
      <c r="D526" s="45"/>
      <c r="E526" s="45"/>
    </row>
    <row r="527" spans="1:5" ht="14.25">
      <c r="A527" s="45"/>
      <c r="B527" s="45"/>
      <c r="C527" s="45"/>
      <c r="D527" s="45"/>
      <c r="E527" s="45"/>
    </row>
    <row r="528" spans="1:5" ht="14.25">
      <c r="A528" s="45"/>
      <c r="B528" s="45"/>
      <c r="C528" s="45"/>
      <c r="D528" s="45"/>
      <c r="E528" s="45"/>
    </row>
    <row r="529" spans="1:5" ht="14.25">
      <c r="A529" s="45"/>
      <c r="B529" s="45"/>
      <c r="C529" s="45"/>
      <c r="D529" s="45"/>
      <c r="E529" s="45"/>
    </row>
    <row r="530" spans="1:5" ht="14.25">
      <c r="A530" s="45"/>
      <c r="B530" s="45"/>
      <c r="C530" s="45"/>
      <c r="D530" s="45"/>
      <c r="E530" s="45"/>
    </row>
    <row r="531" spans="1:5" ht="14.25">
      <c r="A531" s="45"/>
      <c r="B531" s="45"/>
      <c r="C531" s="45"/>
      <c r="D531" s="45"/>
      <c r="E531" s="45"/>
    </row>
    <row r="532" spans="1:5" ht="14.25">
      <c r="A532" s="45"/>
      <c r="B532" s="45"/>
      <c r="C532" s="45"/>
      <c r="D532" s="45"/>
      <c r="E532" s="45"/>
    </row>
    <row r="533" spans="1:5" ht="14.25">
      <c r="A533" s="45"/>
      <c r="B533" s="45"/>
      <c r="C533" s="45"/>
      <c r="D533" s="45"/>
      <c r="E533" s="45"/>
    </row>
    <row r="534" spans="1:5" ht="14.25">
      <c r="A534" s="45"/>
      <c r="B534" s="45"/>
      <c r="C534" s="45"/>
      <c r="D534" s="45"/>
      <c r="E534" s="45"/>
    </row>
    <row r="535" spans="1:5" ht="14.25">
      <c r="A535" s="45"/>
      <c r="B535" s="45"/>
      <c r="C535" s="45"/>
      <c r="D535" s="45"/>
      <c r="E535" s="45"/>
    </row>
    <row r="536" spans="1:5" ht="14.25">
      <c r="A536" s="45"/>
      <c r="B536" s="45"/>
      <c r="C536" s="45"/>
      <c r="D536" s="45"/>
      <c r="E536" s="45"/>
    </row>
    <row r="537" spans="1:5" ht="14.25">
      <c r="A537" s="45"/>
      <c r="B537" s="45"/>
      <c r="C537" s="45"/>
      <c r="D537" s="45"/>
      <c r="E537" s="45"/>
    </row>
    <row r="538" spans="1:5" ht="14.25">
      <c r="A538" s="45"/>
      <c r="B538" s="45"/>
      <c r="C538" s="45"/>
      <c r="D538" s="45"/>
      <c r="E538" s="45"/>
    </row>
    <row r="539" spans="1:5" ht="14.25">
      <c r="A539" s="45"/>
      <c r="B539" s="45"/>
      <c r="C539" s="45"/>
      <c r="D539" s="45"/>
      <c r="E539" s="45"/>
    </row>
    <row r="540" spans="1:5" ht="14.25">
      <c r="A540" s="45"/>
      <c r="B540" s="45"/>
      <c r="C540" s="45"/>
      <c r="D540" s="45"/>
      <c r="E540" s="45"/>
    </row>
    <row r="541" spans="1:5" ht="14.25">
      <c r="A541" s="45"/>
      <c r="B541" s="45"/>
      <c r="C541" s="45"/>
      <c r="D541" s="45"/>
      <c r="E541" s="45"/>
    </row>
    <row r="542" spans="1:5" ht="14.25">
      <c r="A542" s="45"/>
      <c r="B542" s="45"/>
      <c r="C542" s="45"/>
      <c r="D542" s="45"/>
      <c r="E542" s="45"/>
    </row>
    <row r="543" spans="1:5" ht="14.25">
      <c r="A543" s="45"/>
      <c r="B543" s="45"/>
      <c r="C543" s="45"/>
      <c r="D543" s="45"/>
      <c r="E543" s="45"/>
    </row>
    <row r="544" spans="1:5" ht="14.25">
      <c r="A544" s="45"/>
      <c r="B544" s="45"/>
      <c r="C544" s="45"/>
      <c r="D544" s="45"/>
      <c r="E544" s="45"/>
    </row>
    <row r="545" spans="1:5" ht="14.25">
      <c r="A545" s="45"/>
      <c r="B545" s="45"/>
      <c r="C545" s="45"/>
      <c r="D545" s="45"/>
      <c r="E545" s="45"/>
    </row>
    <row r="546" spans="1:5" ht="14.25">
      <c r="A546" s="45"/>
      <c r="B546" s="45"/>
      <c r="C546" s="45"/>
      <c r="D546" s="45"/>
      <c r="E546" s="45"/>
    </row>
    <row r="547" spans="1:5" ht="14.25">
      <c r="A547" s="45"/>
      <c r="B547" s="45"/>
      <c r="C547" s="45"/>
      <c r="D547" s="45"/>
      <c r="E547" s="45"/>
    </row>
    <row r="548" spans="1:5" ht="14.25">
      <c r="A548" s="45"/>
      <c r="B548" s="45"/>
      <c r="C548" s="45"/>
      <c r="D548" s="45"/>
      <c r="E548" s="45"/>
    </row>
    <row r="549" spans="1:5" ht="14.25">
      <c r="A549" s="45"/>
      <c r="B549" s="45"/>
      <c r="C549" s="45"/>
      <c r="D549" s="45"/>
      <c r="E549" s="45"/>
    </row>
    <row r="550" spans="1:5" ht="14.25">
      <c r="A550" s="45"/>
      <c r="B550" s="45"/>
      <c r="C550" s="45"/>
      <c r="D550" s="45"/>
      <c r="E550" s="45"/>
    </row>
    <row r="551" spans="1:5" ht="14.25">
      <c r="A551" s="45"/>
      <c r="B551" s="45"/>
      <c r="C551" s="45"/>
      <c r="D551" s="45"/>
      <c r="E551" s="45"/>
    </row>
    <row r="552" spans="1:5" ht="14.25">
      <c r="A552" s="45"/>
      <c r="B552" s="45"/>
      <c r="C552" s="45"/>
      <c r="D552" s="45"/>
      <c r="E552" s="45"/>
    </row>
    <row r="553" spans="1:5" ht="14.25">
      <c r="A553" s="45"/>
      <c r="B553" s="45"/>
      <c r="C553" s="45"/>
      <c r="D553" s="45"/>
      <c r="E553" s="45"/>
    </row>
    <row r="554" spans="1:5" ht="14.25">
      <c r="A554" s="45"/>
      <c r="B554" s="45"/>
      <c r="C554" s="45"/>
      <c r="D554" s="45"/>
      <c r="E554" s="45"/>
    </row>
    <row r="555" spans="1:5" ht="14.25">
      <c r="A555" s="45"/>
      <c r="B555" s="45"/>
      <c r="C555" s="45"/>
      <c r="D555" s="45"/>
      <c r="E555" s="45"/>
    </row>
    <row r="556" spans="1:5" ht="14.25">
      <c r="A556" s="45"/>
      <c r="B556" s="45"/>
      <c r="C556" s="45"/>
      <c r="D556" s="45"/>
      <c r="E556" s="45"/>
    </row>
    <row r="557" spans="1:5" ht="14.25">
      <c r="A557" s="45"/>
      <c r="B557" s="45"/>
      <c r="C557" s="45"/>
      <c r="D557" s="45"/>
      <c r="E557" s="45"/>
    </row>
    <row r="558" spans="1:5" ht="14.25">
      <c r="A558" s="45"/>
      <c r="B558" s="45"/>
      <c r="C558" s="45"/>
      <c r="D558" s="45"/>
      <c r="E558" s="45"/>
    </row>
    <row r="559" spans="1:5" ht="14.25">
      <c r="A559" s="45"/>
      <c r="B559" s="45"/>
      <c r="C559" s="45"/>
      <c r="D559" s="45"/>
      <c r="E559" s="45"/>
    </row>
    <row r="560" spans="1:5" ht="14.25">
      <c r="A560" s="45"/>
      <c r="B560" s="45"/>
      <c r="C560" s="45"/>
      <c r="D560" s="45"/>
      <c r="E560" s="45"/>
    </row>
    <row r="561" spans="1:5" ht="14.25">
      <c r="A561" s="45"/>
      <c r="B561" s="45"/>
      <c r="C561" s="45"/>
      <c r="D561" s="45"/>
      <c r="E561" s="45"/>
    </row>
    <row r="562" spans="1:5" ht="14.25">
      <c r="A562" s="45"/>
      <c r="B562" s="45"/>
      <c r="C562" s="45"/>
      <c r="D562" s="45"/>
      <c r="E562" s="45"/>
    </row>
    <row r="563" spans="1:5" ht="14.25">
      <c r="A563" s="45"/>
      <c r="B563" s="45"/>
      <c r="C563" s="45"/>
      <c r="D563" s="45"/>
      <c r="E563" s="45"/>
    </row>
    <row r="564" spans="1:5" ht="14.25">
      <c r="A564" s="45"/>
      <c r="B564" s="45"/>
      <c r="C564" s="45"/>
      <c r="D564" s="45"/>
      <c r="E564" s="45"/>
    </row>
    <row r="565" spans="1:5" ht="14.25">
      <c r="A565" s="45"/>
      <c r="B565" s="45"/>
      <c r="C565" s="45"/>
      <c r="D565" s="45"/>
      <c r="E565" s="45"/>
    </row>
    <row r="566" spans="1:5" ht="14.25">
      <c r="A566" s="45"/>
      <c r="B566" s="45"/>
      <c r="C566" s="45"/>
      <c r="D566" s="45"/>
      <c r="E566" s="45"/>
    </row>
    <row r="567" spans="1:5" ht="14.25">
      <c r="A567" s="45"/>
      <c r="B567" s="45"/>
      <c r="C567" s="45"/>
      <c r="D567" s="45"/>
      <c r="E567" s="45"/>
    </row>
    <row r="568" spans="1:5" ht="14.25">
      <c r="A568" s="45"/>
      <c r="B568" s="45"/>
      <c r="C568" s="45"/>
      <c r="D568" s="45"/>
      <c r="E568" s="45"/>
    </row>
    <row r="569" spans="1:5" ht="14.25">
      <c r="A569" s="45"/>
      <c r="B569" s="45"/>
      <c r="C569" s="45"/>
      <c r="D569" s="45"/>
      <c r="E569" s="45"/>
    </row>
    <row r="570" spans="1:5" ht="14.25">
      <c r="A570" s="45"/>
      <c r="B570" s="45"/>
      <c r="C570" s="45"/>
      <c r="D570" s="45"/>
      <c r="E570" s="45"/>
    </row>
    <row r="571" spans="1:5" ht="14.25">
      <c r="A571" s="45"/>
      <c r="B571" s="45"/>
      <c r="C571" s="45"/>
      <c r="D571" s="45"/>
      <c r="E571" s="45"/>
    </row>
    <row r="572" spans="1:5" ht="14.25">
      <c r="A572" s="45"/>
      <c r="B572" s="45"/>
      <c r="C572" s="45"/>
      <c r="D572" s="45"/>
      <c r="E572" s="45"/>
    </row>
    <row r="573" spans="1:5" ht="14.25">
      <c r="A573" s="45"/>
      <c r="B573" s="45"/>
      <c r="C573" s="45"/>
      <c r="D573" s="45"/>
      <c r="E573" s="45"/>
    </row>
    <row r="574" spans="1:5" ht="14.25">
      <c r="A574" s="45"/>
      <c r="B574" s="45"/>
      <c r="C574" s="45"/>
      <c r="D574" s="45"/>
      <c r="E574" s="45"/>
    </row>
    <row r="575" spans="1:5" ht="14.25">
      <c r="A575" s="45"/>
      <c r="B575" s="45"/>
      <c r="C575" s="45"/>
      <c r="D575" s="45"/>
      <c r="E575" s="45"/>
    </row>
    <row r="576" spans="1:5" ht="14.25">
      <c r="A576" s="45"/>
      <c r="B576" s="45"/>
      <c r="C576" s="45"/>
      <c r="D576" s="45"/>
      <c r="E576" s="45"/>
    </row>
    <row r="577" spans="1:5" ht="14.25">
      <c r="A577" s="45"/>
      <c r="B577" s="45"/>
      <c r="C577" s="45"/>
      <c r="D577" s="45"/>
      <c r="E577" s="45"/>
    </row>
    <row r="578" spans="1:5" ht="14.25">
      <c r="A578" s="45"/>
      <c r="B578" s="45"/>
      <c r="C578" s="45"/>
      <c r="D578" s="45"/>
      <c r="E578" s="45"/>
    </row>
    <row r="579" spans="1:5" ht="14.25">
      <c r="A579" s="45"/>
      <c r="B579" s="45"/>
      <c r="C579" s="45"/>
      <c r="D579" s="45"/>
      <c r="E579" s="45"/>
    </row>
    <row r="580" spans="1:5" ht="14.25">
      <c r="A580" s="45"/>
      <c r="B580" s="45"/>
      <c r="C580" s="45"/>
      <c r="D580" s="45"/>
      <c r="E580" s="45"/>
    </row>
    <row r="581" spans="1:5" ht="14.25">
      <c r="A581" s="45"/>
      <c r="B581" s="45"/>
      <c r="C581" s="45"/>
      <c r="D581" s="45"/>
      <c r="E581" s="45"/>
    </row>
    <row r="582" spans="1:5" ht="15">
      <c r="A582" s="45"/>
      <c r="B582" s="45"/>
      <c r="C582" s="45"/>
      <c r="D582" s="47"/>
      <c r="E582" s="45"/>
    </row>
    <row r="583" spans="1:5" ht="14.25">
      <c r="A583" s="45"/>
      <c r="B583" s="45"/>
      <c r="C583" s="45"/>
      <c r="D583" s="45"/>
      <c r="E583" s="45"/>
    </row>
    <row r="584" spans="1:5" ht="14.25">
      <c r="A584" s="45"/>
      <c r="B584" s="45"/>
      <c r="C584" s="45"/>
      <c r="D584" s="45"/>
      <c r="E584" s="45"/>
    </row>
    <row r="585" spans="1:5" ht="14.25">
      <c r="A585" s="45"/>
      <c r="B585" s="45"/>
      <c r="C585" s="45"/>
      <c r="D585" s="45"/>
      <c r="E585" s="45"/>
    </row>
    <row r="586" spans="1:5" ht="14.25">
      <c r="A586" s="45"/>
      <c r="B586" s="45"/>
      <c r="C586" s="45"/>
      <c r="D586" s="45"/>
      <c r="E586" s="45"/>
    </row>
    <row r="587" spans="1:5" ht="14.25">
      <c r="A587" s="45"/>
      <c r="B587" s="45"/>
      <c r="C587" s="45"/>
      <c r="D587" s="45"/>
      <c r="E587" s="45"/>
    </row>
    <row r="588" spans="1:5" ht="14.25">
      <c r="A588" s="45"/>
      <c r="B588" s="45"/>
      <c r="C588" s="45"/>
      <c r="D588" s="45"/>
      <c r="E588" s="45"/>
    </row>
    <row r="589" spans="1:5" ht="14.25">
      <c r="A589" s="45"/>
      <c r="B589" s="45"/>
      <c r="C589" s="45"/>
      <c r="D589" s="45"/>
      <c r="E589" s="45"/>
    </row>
    <row r="590" spans="1:5" ht="14.25">
      <c r="A590" s="45"/>
      <c r="B590" s="45"/>
      <c r="C590" s="45"/>
      <c r="D590" s="45"/>
      <c r="E590" s="45"/>
    </row>
    <row r="591" spans="1:5" ht="14.25">
      <c r="A591" s="45"/>
      <c r="B591" s="45"/>
      <c r="C591" s="45"/>
      <c r="D591" s="45"/>
      <c r="E591" s="45"/>
    </row>
    <row r="592" spans="1:5" ht="14.25">
      <c r="A592" s="45"/>
      <c r="B592" s="45"/>
      <c r="C592" s="45"/>
      <c r="D592" s="45"/>
      <c r="E592" s="45"/>
    </row>
    <row r="593" spans="1:5" ht="14.25">
      <c r="A593" s="45"/>
      <c r="B593" s="45"/>
      <c r="C593" s="45"/>
      <c r="D593" s="45"/>
      <c r="E593" s="45"/>
    </row>
    <row r="594" spans="1:5" ht="14.25">
      <c r="A594" s="45"/>
      <c r="B594" s="45"/>
      <c r="C594" s="45"/>
      <c r="D594" s="45"/>
      <c r="E594" s="45"/>
    </row>
    <row r="595" spans="1:5" ht="14.25">
      <c r="A595" s="45"/>
      <c r="B595" s="45"/>
      <c r="C595" s="45"/>
      <c r="D595" s="45"/>
      <c r="E595" s="45"/>
    </row>
    <row r="596" spans="1:5" ht="14.25">
      <c r="A596" s="45"/>
      <c r="B596" s="45"/>
      <c r="C596" s="45"/>
      <c r="D596" s="45"/>
      <c r="E596" s="45"/>
    </row>
    <row r="597" spans="1:5" ht="14.25">
      <c r="A597" s="45"/>
      <c r="B597" s="45"/>
      <c r="C597" s="45"/>
      <c r="D597" s="45"/>
      <c r="E597" s="45"/>
    </row>
    <row r="598" spans="1:5" ht="14.25">
      <c r="A598" s="45"/>
      <c r="B598" s="45"/>
      <c r="C598" s="45"/>
      <c r="D598" s="45"/>
      <c r="E598" s="45"/>
    </row>
    <row r="599" spans="1:5" ht="14.25">
      <c r="A599" s="45"/>
      <c r="B599" s="45"/>
      <c r="C599" s="45"/>
      <c r="D599" s="45"/>
      <c r="E599" s="45"/>
    </row>
    <row r="600" spans="1:5" ht="14.25">
      <c r="A600" s="45"/>
      <c r="B600" s="45"/>
      <c r="C600" s="45"/>
      <c r="D600" s="45"/>
      <c r="E600" s="45"/>
    </row>
    <row r="601" spans="1:5" ht="14.25">
      <c r="A601" s="45"/>
      <c r="B601" s="45"/>
      <c r="C601" s="45"/>
      <c r="D601" s="45"/>
      <c r="E601" s="45"/>
    </row>
    <row r="602" spans="1:5" ht="14.25">
      <c r="A602" s="45"/>
      <c r="B602" s="45"/>
      <c r="C602" s="45"/>
      <c r="D602" s="45"/>
      <c r="E602" s="45"/>
    </row>
    <row r="603" spans="1:5" ht="14.25">
      <c r="A603" s="45"/>
      <c r="B603" s="45"/>
      <c r="C603" s="45"/>
      <c r="D603" s="45"/>
      <c r="E603" s="45"/>
    </row>
    <row r="604" spans="1:5" ht="14.25">
      <c r="A604" s="45"/>
      <c r="B604" s="45"/>
      <c r="C604" s="45"/>
      <c r="D604" s="45"/>
      <c r="E604" s="45"/>
    </row>
    <row r="605" spans="1:5" ht="14.25">
      <c r="A605" s="45"/>
      <c r="B605" s="45"/>
      <c r="C605" s="45"/>
      <c r="D605" s="45"/>
      <c r="E605" s="45"/>
    </row>
    <row r="606" spans="1:5" ht="14.25">
      <c r="A606" s="45"/>
      <c r="B606" s="45"/>
      <c r="C606" s="45"/>
      <c r="D606" s="45"/>
      <c r="E606" s="45"/>
    </row>
    <row r="607" spans="1:5" ht="14.25">
      <c r="A607" s="45"/>
      <c r="B607" s="45"/>
      <c r="C607" s="45"/>
      <c r="D607" s="45"/>
      <c r="E607" s="45"/>
    </row>
    <row r="608" spans="1:5" ht="14.25">
      <c r="A608" s="45"/>
      <c r="B608" s="45"/>
      <c r="C608" s="45"/>
      <c r="D608" s="45"/>
      <c r="E608" s="45"/>
    </row>
    <row r="609" spans="1:5" ht="14.25">
      <c r="A609" s="45"/>
      <c r="B609" s="45"/>
      <c r="C609" s="45"/>
      <c r="D609" s="45"/>
      <c r="E609" s="45"/>
    </row>
    <row r="610" spans="1:5" ht="14.25">
      <c r="A610" s="45"/>
      <c r="B610" s="45"/>
      <c r="C610" s="45"/>
      <c r="D610" s="45"/>
      <c r="E610" s="45"/>
    </row>
    <row r="611" spans="1:5" ht="14.25">
      <c r="A611" s="45"/>
      <c r="B611" s="45"/>
      <c r="C611" s="45"/>
      <c r="D611" s="45"/>
      <c r="E611" s="45"/>
    </row>
    <row r="612" spans="1:5" ht="14.25">
      <c r="A612" s="45"/>
      <c r="B612" s="45"/>
      <c r="C612" s="45"/>
      <c r="D612" s="45"/>
      <c r="E612" s="45"/>
    </row>
    <row r="613" spans="1:5" ht="14.25">
      <c r="A613" s="45"/>
      <c r="B613" s="45"/>
      <c r="C613" s="45"/>
      <c r="D613" s="45"/>
      <c r="E613" s="45"/>
    </row>
    <row r="614" spans="1:5" ht="14.25">
      <c r="A614" s="45"/>
      <c r="B614" s="45"/>
      <c r="C614" s="45"/>
      <c r="D614" s="45"/>
      <c r="E614" s="45"/>
    </row>
    <row r="615" spans="1:5" ht="14.25">
      <c r="A615" s="45"/>
      <c r="B615" s="45"/>
      <c r="C615" s="45"/>
      <c r="D615" s="45"/>
      <c r="E615" s="45"/>
    </row>
    <row r="616" spans="1:5" ht="14.25">
      <c r="A616" s="45"/>
      <c r="B616" s="45"/>
      <c r="C616" s="45"/>
      <c r="D616" s="45"/>
      <c r="E616" s="45"/>
    </row>
    <row r="617" spans="1:5" ht="14.25">
      <c r="A617" s="45"/>
      <c r="B617" s="45"/>
      <c r="C617" s="45"/>
      <c r="D617" s="45"/>
      <c r="E617" s="45"/>
    </row>
    <row r="618" spans="1:5" ht="14.25">
      <c r="A618" s="45"/>
      <c r="B618" s="45"/>
      <c r="C618" s="45"/>
      <c r="D618" s="45"/>
      <c r="E618" s="45"/>
    </row>
    <row r="619" spans="1:5" ht="14.25">
      <c r="A619" s="45"/>
      <c r="B619" s="45"/>
      <c r="C619" s="45"/>
      <c r="D619" s="45"/>
      <c r="E619" s="45"/>
    </row>
    <row r="620" spans="1:5" ht="14.25">
      <c r="A620" s="45"/>
      <c r="B620" s="45"/>
      <c r="C620" s="45"/>
      <c r="D620" s="45"/>
      <c r="E620" s="45"/>
    </row>
    <row r="621" spans="1:5" ht="14.25">
      <c r="A621" s="45"/>
      <c r="B621" s="45"/>
      <c r="C621" s="45"/>
      <c r="D621" s="45"/>
      <c r="E621" s="45"/>
    </row>
    <row r="622" spans="1:5" ht="14.25">
      <c r="A622" s="45"/>
      <c r="B622" s="45"/>
      <c r="C622" s="45"/>
      <c r="D622" s="45"/>
      <c r="E622" s="45"/>
    </row>
    <row r="623" spans="1:5" ht="14.25">
      <c r="A623" s="45"/>
      <c r="B623" s="45"/>
      <c r="C623" s="45"/>
      <c r="D623" s="45"/>
      <c r="E623" s="45"/>
    </row>
    <row r="624" spans="1:5" ht="14.25">
      <c r="A624" s="45"/>
      <c r="B624" s="45"/>
      <c r="C624" s="45"/>
      <c r="D624" s="45"/>
      <c r="E624" s="45"/>
    </row>
    <row r="625" spans="1:5" ht="14.25">
      <c r="A625" s="45"/>
      <c r="B625" s="45"/>
      <c r="C625" s="45"/>
      <c r="D625" s="45"/>
      <c r="E625" s="45"/>
    </row>
    <row r="626" spans="1:5" ht="14.25">
      <c r="A626" s="45"/>
      <c r="B626" s="45"/>
      <c r="C626" s="45"/>
      <c r="D626" s="45"/>
      <c r="E626" s="45"/>
    </row>
    <row r="627" spans="1:5" ht="14.25">
      <c r="A627" s="45"/>
      <c r="B627" s="45"/>
      <c r="C627" s="45"/>
      <c r="D627" s="45"/>
      <c r="E627" s="45"/>
    </row>
    <row r="628" spans="1:5" ht="14.25">
      <c r="A628" s="45"/>
      <c r="B628" s="45"/>
      <c r="C628" s="45"/>
      <c r="D628" s="45"/>
      <c r="E628" s="45"/>
    </row>
    <row r="629" spans="1:5" ht="14.25">
      <c r="A629" s="45"/>
      <c r="B629" s="45"/>
      <c r="C629" s="45"/>
      <c r="D629" s="45"/>
      <c r="E629" s="45"/>
    </row>
    <row r="630" spans="1:5" ht="14.25">
      <c r="A630" s="45"/>
      <c r="B630" s="45"/>
      <c r="C630" s="45"/>
      <c r="D630" s="45"/>
      <c r="E630" s="45"/>
    </row>
    <row r="631" spans="1:5" ht="14.25">
      <c r="A631" s="45"/>
      <c r="B631" s="45"/>
      <c r="C631" s="45"/>
      <c r="D631" s="45"/>
      <c r="E631" s="45"/>
    </row>
    <row r="632" spans="1:5" ht="14.25">
      <c r="A632" s="45"/>
      <c r="B632" s="45"/>
      <c r="C632" s="45"/>
      <c r="D632" s="45"/>
      <c r="E632" s="45"/>
    </row>
    <row r="633" spans="1:5" ht="14.25">
      <c r="A633" s="45"/>
      <c r="B633" s="45"/>
      <c r="C633" s="45"/>
      <c r="D633" s="45"/>
      <c r="E633" s="45"/>
    </row>
    <row r="634" spans="1:5" ht="14.25">
      <c r="A634" s="45"/>
      <c r="B634" s="45"/>
      <c r="C634" s="45"/>
      <c r="D634" s="45"/>
      <c r="E634" s="45"/>
    </row>
    <row r="635" spans="1:5" ht="14.25">
      <c r="A635" s="45"/>
      <c r="B635" s="45"/>
      <c r="C635" s="45"/>
      <c r="D635" s="45"/>
      <c r="E635" s="45"/>
    </row>
    <row r="636" spans="1:5" ht="14.25">
      <c r="A636" s="45"/>
      <c r="B636" s="45"/>
      <c r="C636" s="45"/>
      <c r="D636" s="45"/>
      <c r="E636" s="45"/>
    </row>
    <row r="637" spans="1:5" ht="14.25">
      <c r="A637" s="45"/>
      <c r="B637" s="45"/>
      <c r="C637" s="45"/>
      <c r="D637" s="45"/>
      <c r="E637" s="45"/>
    </row>
    <row r="638" spans="1:5" ht="14.25">
      <c r="A638" s="45"/>
      <c r="B638" s="45"/>
      <c r="C638" s="45"/>
      <c r="D638" s="45"/>
      <c r="E638" s="45"/>
    </row>
    <row r="639" spans="1:5" ht="14.25">
      <c r="A639" s="45"/>
      <c r="B639" s="45"/>
      <c r="C639" s="45"/>
      <c r="D639" s="45"/>
      <c r="E639" s="45"/>
    </row>
    <row r="640" spans="1:5" ht="14.25">
      <c r="A640" s="45"/>
      <c r="B640" s="45"/>
      <c r="C640" s="45"/>
      <c r="D640" s="45"/>
      <c r="E640" s="45"/>
    </row>
    <row r="641" spans="1:5" ht="14.25">
      <c r="A641" s="45"/>
      <c r="B641" s="45"/>
      <c r="C641" s="45"/>
      <c r="D641" s="45"/>
      <c r="E641" s="45"/>
    </row>
    <row r="642" spans="1:5" ht="14.25">
      <c r="A642" s="45"/>
      <c r="B642" s="45"/>
      <c r="C642" s="45"/>
      <c r="D642" s="45"/>
      <c r="E642" s="45"/>
    </row>
    <row r="643" spans="1:5" ht="14.25">
      <c r="A643" s="45"/>
      <c r="B643" s="45"/>
      <c r="C643" s="45"/>
      <c r="D643" s="45"/>
      <c r="E643" s="45"/>
    </row>
    <row r="644" spans="1:5" ht="14.25">
      <c r="A644" s="45"/>
      <c r="B644" s="45"/>
      <c r="C644" s="45"/>
      <c r="D644" s="45"/>
      <c r="E644" s="45"/>
    </row>
    <row r="645" spans="1:5" ht="14.25">
      <c r="A645" s="45"/>
      <c r="B645" s="45"/>
      <c r="C645" s="45"/>
      <c r="D645" s="45"/>
      <c r="E645" s="45"/>
    </row>
    <row r="646" spans="1:5" ht="14.25">
      <c r="A646" s="45"/>
      <c r="B646" s="45"/>
      <c r="C646" s="45"/>
      <c r="D646" s="45"/>
      <c r="E646" s="45"/>
    </row>
    <row r="647" spans="1:5" ht="14.25">
      <c r="A647" s="45"/>
      <c r="B647" s="45"/>
      <c r="C647" s="45"/>
      <c r="D647" s="45"/>
      <c r="E647" s="45"/>
    </row>
    <row r="648" spans="1:5" ht="14.25">
      <c r="A648" s="45"/>
      <c r="B648" s="45"/>
      <c r="C648" s="45"/>
      <c r="D648" s="45"/>
      <c r="E648" s="45"/>
    </row>
    <row r="649" spans="1:5" ht="14.25">
      <c r="A649" s="45"/>
      <c r="B649" s="45"/>
      <c r="C649" s="45"/>
      <c r="D649" s="45"/>
      <c r="E649" s="45"/>
    </row>
    <row r="650" spans="1:5" ht="14.25">
      <c r="A650" s="45"/>
      <c r="B650" s="45"/>
      <c r="C650" s="45"/>
      <c r="D650" s="45"/>
      <c r="E650" s="45"/>
    </row>
    <row r="651" spans="1:5" ht="14.25">
      <c r="A651" s="45"/>
      <c r="B651" s="45"/>
      <c r="C651" s="45"/>
      <c r="D651" s="45"/>
      <c r="E651" s="45"/>
    </row>
    <row r="652" spans="1:5" ht="14.25">
      <c r="A652" s="45"/>
      <c r="B652" s="45"/>
      <c r="C652" s="45"/>
      <c r="D652" s="45"/>
      <c r="E652" s="45"/>
    </row>
    <row r="653" spans="1:5" ht="14.25">
      <c r="A653" s="45"/>
      <c r="B653" s="45"/>
      <c r="C653" s="45"/>
      <c r="D653" s="45"/>
      <c r="E653" s="45"/>
    </row>
    <row r="654" spans="1:5" ht="14.25">
      <c r="A654" s="45"/>
      <c r="B654" s="45"/>
      <c r="C654" s="45"/>
      <c r="D654" s="45"/>
      <c r="E654" s="45"/>
    </row>
    <row r="655" spans="1:5" ht="14.25">
      <c r="A655" s="45"/>
      <c r="B655" s="45"/>
      <c r="C655" s="45"/>
      <c r="D655" s="45"/>
      <c r="E655" s="45"/>
    </row>
    <row r="656" spans="1:5" ht="14.25">
      <c r="A656" s="45"/>
      <c r="B656" s="45"/>
      <c r="C656" s="45"/>
      <c r="D656" s="45"/>
      <c r="E656" s="45"/>
    </row>
    <row r="657" spans="1:5" ht="14.25">
      <c r="A657" s="45"/>
      <c r="B657" s="45"/>
      <c r="C657" s="45"/>
      <c r="D657" s="45"/>
      <c r="E657" s="45"/>
    </row>
    <row r="658" spans="1:5" ht="14.25">
      <c r="A658" s="45"/>
      <c r="B658" s="45"/>
      <c r="C658" s="45"/>
      <c r="D658" s="45"/>
      <c r="E658" s="45"/>
    </row>
    <row r="659" spans="1:5" ht="14.25">
      <c r="A659" s="45"/>
      <c r="B659" s="45"/>
      <c r="C659" s="45"/>
      <c r="D659" s="45"/>
      <c r="E659" s="45"/>
    </row>
    <row r="660" spans="1:5" ht="14.25">
      <c r="A660" s="45"/>
      <c r="B660" s="45"/>
      <c r="C660" s="45"/>
      <c r="D660" s="45"/>
      <c r="E660" s="45"/>
    </row>
    <row r="661" spans="1:5" ht="14.25">
      <c r="A661" s="45"/>
      <c r="B661" s="45"/>
      <c r="C661" s="45"/>
      <c r="D661" s="45"/>
      <c r="E661" s="45"/>
    </row>
    <row r="662" spans="1:5" ht="14.25">
      <c r="A662" s="45"/>
      <c r="B662" s="45"/>
      <c r="C662" s="45"/>
      <c r="D662" s="45"/>
      <c r="E662" s="45"/>
    </row>
    <row r="663" spans="1:5" ht="14.25">
      <c r="A663" s="45"/>
      <c r="B663" s="45"/>
      <c r="C663" s="45"/>
      <c r="D663" s="45"/>
      <c r="E663" s="45"/>
    </row>
    <row r="664" spans="1:5" ht="14.25">
      <c r="A664" s="45"/>
      <c r="B664" s="45"/>
      <c r="C664" s="45"/>
      <c r="D664" s="45"/>
      <c r="E664" s="45"/>
    </row>
    <row r="665" spans="1:5" ht="14.25">
      <c r="A665" s="45"/>
      <c r="B665" s="45"/>
      <c r="C665" s="45"/>
      <c r="D665" s="45"/>
      <c r="E665" s="45"/>
    </row>
    <row r="666" spans="1:5" ht="14.25">
      <c r="A666" s="45"/>
      <c r="B666" s="45"/>
      <c r="C666" s="45"/>
      <c r="D666" s="45"/>
      <c r="E666" s="45"/>
    </row>
    <row r="667" spans="1:5" ht="14.25">
      <c r="A667" s="45"/>
      <c r="B667" s="45"/>
      <c r="C667" s="45"/>
      <c r="D667" s="45"/>
      <c r="E667" s="45"/>
    </row>
    <row r="668" spans="1:5" ht="14.25">
      <c r="A668" s="45"/>
      <c r="B668" s="45"/>
      <c r="C668" s="45"/>
      <c r="D668" s="45"/>
      <c r="E668" s="45"/>
    </row>
    <row r="669" spans="1:5" ht="14.25">
      <c r="A669" s="45"/>
      <c r="B669" s="45"/>
      <c r="C669" s="45"/>
      <c r="D669" s="45"/>
      <c r="E669" s="45"/>
    </row>
    <row r="670" spans="1:5" ht="14.25">
      <c r="A670" s="45"/>
      <c r="B670" s="45"/>
      <c r="C670" s="45"/>
      <c r="D670" s="45"/>
      <c r="E670" s="45"/>
    </row>
    <row r="671" spans="1:5" ht="14.25">
      <c r="A671" s="45"/>
      <c r="B671" s="45"/>
      <c r="C671" s="45"/>
      <c r="D671" s="45"/>
      <c r="E671" s="45"/>
    </row>
    <row r="672" spans="1:5" ht="14.25">
      <c r="A672" s="45"/>
      <c r="B672" s="45"/>
      <c r="C672" s="45"/>
      <c r="D672" s="45"/>
      <c r="E672" s="45"/>
    </row>
    <row r="673" spans="1:5" ht="14.25">
      <c r="A673" s="45"/>
      <c r="B673" s="45"/>
      <c r="C673" s="45"/>
      <c r="D673" s="45"/>
      <c r="E673" s="45"/>
    </row>
    <row r="674" spans="1:5" ht="14.25">
      <c r="A674" s="45"/>
      <c r="B674" s="45"/>
      <c r="C674" s="45"/>
      <c r="D674" s="45"/>
      <c r="E674" s="45"/>
    </row>
    <row r="675" spans="1:5" ht="14.25">
      <c r="A675" s="45"/>
      <c r="B675" s="45"/>
      <c r="C675" s="45"/>
      <c r="D675" s="45"/>
      <c r="E675" s="45"/>
    </row>
    <row r="676" spans="1:5" ht="14.25">
      <c r="A676" s="45"/>
      <c r="B676" s="45"/>
      <c r="C676" s="45"/>
      <c r="D676" s="45"/>
      <c r="E676" s="45"/>
    </row>
    <row r="677" spans="1:5" ht="14.25">
      <c r="A677" s="45"/>
      <c r="B677" s="45"/>
      <c r="C677" s="45"/>
      <c r="D677" s="45"/>
      <c r="E677" s="45"/>
    </row>
    <row r="678" spans="1:5" ht="14.25">
      <c r="A678" s="45"/>
      <c r="B678" s="45"/>
      <c r="C678" s="45"/>
      <c r="D678" s="45"/>
      <c r="E678" s="45"/>
    </row>
    <row r="679" spans="1:5" ht="14.25">
      <c r="A679" s="45"/>
      <c r="B679" s="45"/>
      <c r="C679" s="45"/>
      <c r="D679" s="45"/>
      <c r="E679" s="45"/>
    </row>
    <row r="680" spans="1:5" ht="14.25">
      <c r="A680" s="45"/>
      <c r="B680" s="45"/>
      <c r="C680" s="45"/>
      <c r="D680" s="45"/>
      <c r="E680" s="45"/>
    </row>
    <row r="681" spans="1:5" ht="14.25">
      <c r="A681" s="45"/>
      <c r="B681" s="45"/>
      <c r="C681" s="45"/>
      <c r="D681" s="45"/>
      <c r="E681" s="45"/>
    </row>
    <row r="682" spans="1:5" ht="14.25">
      <c r="A682" s="45"/>
      <c r="B682" s="45"/>
      <c r="C682" s="45"/>
      <c r="D682" s="45"/>
      <c r="E682" s="45"/>
    </row>
    <row r="683" spans="1:5" ht="14.25">
      <c r="A683" s="45"/>
      <c r="B683" s="45"/>
      <c r="C683" s="45"/>
      <c r="D683" s="45"/>
      <c r="E683" s="45"/>
    </row>
    <row r="684" spans="1:5" ht="14.25">
      <c r="A684" s="45"/>
      <c r="B684" s="45"/>
      <c r="C684" s="45"/>
      <c r="D684" s="45"/>
      <c r="E684" s="45"/>
    </row>
    <row r="685" spans="1:5" ht="14.25">
      <c r="A685" s="45"/>
      <c r="B685" s="45"/>
      <c r="C685" s="45"/>
      <c r="D685" s="45"/>
      <c r="E685" s="45"/>
    </row>
    <row r="686" spans="1:5" ht="14.25">
      <c r="A686" s="45"/>
      <c r="B686" s="45"/>
      <c r="C686" s="45"/>
      <c r="D686" s="45"/>
      <c r="E686" s="45"/>
    </row>
    <row r="687" spans="1:5" ht="14.25">
      <c r="A687" s="45"/>
      <c r="B687" s="45"/>
      <c r="C687" s="45"/>
      <c r="D687" s="45"/>
      <c r="E687" s="45"/>
    </row>
    <row r="688" spans="1:5" ht="14.25">
      <c r="A688" s="45"/>
      <c r="B688" s="45"/>
      <c r="C688" s="45"/>
      <c r="D688" s="45"/>
      <c r="E688" s="45"/>
    </row>
    <row r="689" spans="1:5" ht="14.25">
      <c r="A689" s="45"/>
      <c r="B689" s="45"/>
      <c r="C689" s="45"/>
      <c r="D689" s="45"/>
      <c r="E689" s="45"/>
    </row>
    <row r="690" spans="1:5" ht="14.25">
      <c r="A690" s="45"/>
      <c r="B690" s="45"/>
      <c r="C690" s="45"/>
      <c r="D690" s="45"/>
      <c r="E690" s="45"/>
    </row>
    <row r="691" spans="1:5" ht="14.25">
      <c r="A691" s="45"/>
      <c r="B691" s="45"/>
      <c r="C691" s="45"/>
      <c r="D691" s="45"/>
      <c r="E691" s="45"/>
    </row>
    <row r="692" spans="1:5" ht="14.25">
      <c r="A692" s="45"/>
      <c r="B692" s="45"/>
      <c r="C692" s="45"/>
      <c r="D692" s="45"/>
      <c r="E692" s="45"/>
    </row>
    <row r="693" spans="1:5" ht="14.25">
      <c r="A693" s="45"/>
      <c r="B693" s="45"/>
      <c r="C693" s="45"/>
      <c r="D693" s="45"/>
      <c r="E693" s="45"/>
    </row>
    <row r="694" spans="1:5" ht="14.25">
      <c r="A694" s="45"/>
      <c r="B694" s="45"/>
      <c r="C694" s="45"/>
      <c r="D694" s="45"/>
      <c r="E694" s="45"/>
    </row>
    <row r="695" spans="1:5" ht="14.25">
      <c r="A695" s="45"/>
      <c r="B695" s="45"/>
      <c r="C695" s="45"/>
      <c r="D695" s="53"/>
      <c r="E695" s="45"/>
    </row>
    <row r="696" spans="1:5" ht="14.25">
      <c r="A696" s="45"/>
      <c r="B696" s="45"/>
      <c r="C696" s="45"/>
      <c r="D696" s="45"/>
      <c r="E696" s="45"/>
    </row>
    <row r="697" spans="1:5" ht="14.25">
      <c r="A697" s="45"/>
      <c r="B697" s="45"/>
      <c r="C697" s="45"/>
      <c r="D697" s="45"/>
      <c r="E697" s="45"/>
    </row>
    <row r="698" spans="1:5" ht="14.25">
      <c r="A698" s="45"/>
      <c r="B698" s="45"/>
      <c r="C698" s="45"/>
      <c r="D698" s="45"/>
      <c r="E698" s="45"/>
    </row>
    <row r="699" spans="1:5" ht="14.25">
      <c r="A699" s="45"/>
      <c r="B699" s="45"/>
      <c r="C699" s="45"/>
      <c r="D699" s="45"/>
      <c r="E699" s="45"/>
    </row>
    <row r="700" spans="1:5" ht="14.25">
      <c r="A700" s="45"/>
      <c r="B700" s="45"/>
      <c r="C700" s="45"/>
      <c r="D700" s="45"/>
      <c r="E700" s="45"/>
    </row>
    <row r="701" spans="1:5" ht="14.25">
      <c r="A701" s="45"/>
      <c r="B701" s="45"/>
      <c r="C701" s="45"/>
      <c r="D701" s="45"/>
      <c r="E701" s="45"/>
    </row>
    <row r="702" spans="1:5" ht="14.25">
      <c r="A702" s="45"/>
      <c r="B702" s="45"/>
      <c r="C702" s="45"/>
      <c r="D702" s="45"/>
      <c r="E702" s="45"/>
    </row>
    <row r="703" spans="1:5" ht="14.25">
      <c r="A703" s="45"/>
      <c r="B703" s="45"/>
      <c r="C703" s="45"/>
      <c r="D703" s="45"/>
      <c r="E703" s="45"/>
    </row>
    <row r="704" spans="1:5" ht="14.25">
      <c r="A704" s="45"/>
      <c r="B704" s="45"/>
      <c r="C704" s="45"/>
      <c r="D704" s="45"/>
      <c r="E704" s="45"/>
    </row>
    <row r="705" spans="1:5" ht="14.25">
      <c r="A705" s="45"/>
      <c r="B705" s="45"/>
      <c r="C705" s="45"/>
      <c r="D705" s="45"/>
      <c r="E705" s="45"/>
    </row>
    <row r="706" spans="1:5" ht="14.25">
      <c r="A706" s="45"/>
      <c r="B706" s="45"/>
      <c r="C706" s="45"/>
      <c r="D706" s="45"/>
      <c r="E706" s="45"/>
    </row>
    <row r="707" spans="1:5" ht="14.25">
      <c r="A707" s="45"/>
      <c r="B707" s="45"/>
      <c r="C707" s="45"/>
      <c r="D707" s="45"/>
      <c r="E707" s="45"/>
    </row>
    <row r="708" spans="1:5" ht="14.25">
      <c r="A708" s="45"/>
      <c r="B708" s="45"/>
      <c r="C708" s="45"/>
      <c r="D708" s="45"/>
      <c r="E708" s="45"/>
    </row>
    <row r="709" spans="1:5" ht="14.25">
      <c r="A709" s="45"/>
      <c r="B709" s="45"/>
      <c r="C709" s="45"/>
      <c r="D709" s="45"/>
      <c r="E709" s="45"/>
    </row>
    <row r="710" spans="1:5" ht="14.25">
      <c r="A710" s="45"/>
      <c r="B710" s="45"/>
      <c r="C710" s="45"/>
      <c r="D710" s="45"/>
      <c r="E710" s="45"/>
    </row>
    <row r="711" spans="1:5" ht="14.25">
      <c r="A711" s="45"/>
      <c r="B711" s="45"/>
      <c r="C711" s="45"/>
      <c r="D711" s="45"/>
      <c r="E711" s="45"/>
    </row>
    <row r="712" spans="1:5" ht="14.25">
      <c r="A712" s="45"/>
      <c r="B712" s="45"/>
      <c r="C712" s="45"/>
      <c r="D712" s="45"/>
      <c r="E712" s="45"/>
    </row>
    <row r="713" spans="1:5" ht="14.25">
      <c r="A713" s="45"/>
      <c r="B713" s="45"/>
      <c r="C713" s="45"/>
      <c r="D713" s="45"/>
      <c r="E713" s="45"/>
    </row>
    <row r="714" spans="1:5" ht="14.25">
      <c r="A714" s="45"/>
      <c r="B714" s="45"/>
      <c r="C714" s="45"/>
      <c r="D714" s="45"/>
      <c r="E714" s="45"/>
    </row>
    <row r="715" spans="1:5" ht="14.25">
      <c r="A715" s="53"/>
      <c r="B715" s="45"/>
      <c r="C715" s="45"/>
      <c r="D715" s="45"/>
      <c r="E715" s="45"/>
    </row>
    <row r="716" spans="1:5" ht="14.25">
      <c r="A716" s="45"/>
      <c r="B716" s="45"/>
      <c r="C716" s="45"/>
      <c r="D716" s="45"/>
      <c r="E716" s="45"/>
    </row>
    <row r="717" spans="1:5" ht="14.25">
      <c r="A717" s="45"/>
      <c r="B717" s="45"/>
      <c r="C717" s="45"/>
      <c r="D717" s="45"/>
      <c r="E717" s="45"/>
    </row>
    <row r="718" spans="1:5" ht="14.25">
      <c r="A718" s="45"/>
      <c r="B718" s="45"/>
      <c r="C718" s="45"/>
      <c r="D718" s="45"/>
      <c r="E718" s="45"/>
    </row>
    <row r="719" spans="1:5" ht="14.25">
      <c r="A719" s="45"/>
      <c r="B719" s="45"/>
      <c r="C719" s="45"/>
      <c r="D719" s="45"/>
      <c r="E719" s="45"/>
    </row>
    <row r="720" spans="1:5" ht="14.25">
      <c r="A720" s="45"/>
      <c r="B720" s="45"/>
      <c r="C720" s="45"/>
      <c r="D720" s="45"/>
      <c r="E720" s="45"/>
    </row>
    <row r="721" spans="1:5" ht="14.25">
      <c r="A721" s="45"/>
      <c r="B721" s="45"/>
      <c r="C721" s="45"/>
      <c r="D721" s="45"/>
      <c r="E721" s="45"/>
    </row>
    <row r="722" spans="1:5" ht="14.25">
      <c r="A722" s="45"/>
      <c r="B722" s="45"/>
      <c r="C722" s="45"/>
      <c r="D722" s="45"/>
      <c r="E722" s="45"/>
    </row>
    <row r="723" spans="1:5" ht="14.25">
      <c r="A723" s="45"/>
      <c r="B723" s="45"/>
      <c r="C723" s="45"/>
      <c r="D723" s="45"/>
      <c r="E723" s="45"/>
    </row>
    <row r="724" spans="1:5" ht="14.25">
      <c r="A724" s="45"/>
      <c r="B724" s="45"/>
      <c r="C724" s="45"/>
      <c r="D724" s="45"/>
      <c r="E724" s="45"/>
    </row>
    <row r="725" spans="1:5" ht="14.25">
      <c r="A725" s="45"/>
      <c r="B725" s="45"/>
      <c r="C725" s="45"/>
      <c r="D725" s="45"/>
      <c r="E725" s="45"/>
    </row>
    <row r="726" spans="1:5" ht="14.25">
      <c r="A726" s="45"/>
      <c r="B726" s="45"/>
      <c r="C726" s="45"/>
      <c r="D726" s="45"/>
      <c r="E726" s="45"/>
    </row>
    <row r="727" spans="1:5" ht="14.25">
      <c r="A727" s="45"/>
      <c r="B727" s="45"/>
      <c r="C727" s="45"/>
      <c r="D727" s="45"/>
      <c r="E727" s="45"/>
    </row>
    <row r="728" spans="1:5" ht="14.25">
      <c r="A728" s="45"/>
      <c r="B728" s="45"/>
      <c r="C728" s="45"/>
      <c r="D728" s="45"/>
      <c r="E728" s="45"/>
    </row>
    <row r="729" spans="1:5" ht="14.25">
      <c r="A729" s="45"/>
      <c r="B729" s="45"/>
      <c r="C729" s="45"/>
      <c r="D729" s="45"/>
      <c r="E729" s="45"/>
    </row>
    <row r="730" spans="1:5" ht="14.25">
      <c r="A730" s="45"/>
      <c r="B730" s="45"/>
      <c r="C730" s="45"/>
      <c r="D730" s="45"/>
      <c r="E730" s="45"/>
    </row>
    <row r="731" spans="1:5" ht="14.25">
      <c r="A731" s="45"/>
      <c r="B731" s="45"/>
      <c r="C731" s="45"/>
      <c r="D731" s="45"/>
      <c r="E731" s="45"/>
    </row>
    <row r="732" spans="1:5" ht="14.25">
      <c r="A732" s="45"/>
      <c r="B732" s="45"/>
      <c r="C732" s="45"/>
      <c r="D732" s="45"/>
      <c r="E732" s="45"/>
    </row>
    <row r="733" spans="1:5" ht="14.25">
      <c r="A733" s="45"/>
      <c r="B733" s="45"/>
      <c r="C733" s="45"/>
      <c r="D733" s="45"/>
      <c r="E733" s="45"/>
    </row>
    <row r="734" spans="1:5" ht="14.25">
      <c r="A734" s="45"/>
      <c r="B734" s="45"/>
      <c r="C734" s="45"/>
      <c r="D734" s="45"/>
      <c r="E734" s="45"/>
    </row>
    <row r="735" spans="1:5" ht="14.25">
      <c r="A735" s="45"/>
      <c r="B735" s="45"/>
      <c r="C735" s="45"/>
      <c r="D735" s="45"/>
      <c r="E735" s="45"/>
    </row>
    <row r="736" spans="1:5" ht="14.25">
      <c r="A736" s="45"/>
      <c r="B736" s="45"/>
      <c r="C736" s="45"/>
      <c r="D736" s="45"/>
      <c r="E736" s="45"/>
    </row>
    <row r="737" spans="1:5" ht="14.25">
      <c r="A737" s="45"/>
      <c r="B737" s="45"/>
      <c r="C737" s="45"/>
      <c r="D737" s="45"/>
      <c r="E737" s="45"/>
    </row>
    <row r="738" spans="1:5" ht="14.25">
      <c r="A738" s="45"/>
      <c r="B738" s="45"/>
      <c r="C738" s="45"/>
      <c r="D738" s="45"/>
      <c r="E738" s="45"/>
    </row>
    <row r="739" spans="1:5" ht="14.25">
      <c r="A739" s="45"/>
      <c r="B739" s="45"/>
      <c r="C739" s="45"/>
      <c r="D739" s="45"/>
      <c r="E739" s="45"/>
    </row>
    <row r="740" spans="1:5" ht="14.25">
      <c r="A740" s="45"/>
      <c r="B740" s="45"/>
      <c r="C740" s="45"/>
      <c r="D740" s="45"/>
      <c r="E740" s="45"/>
    </row>
    <row r="741" spans="1:5" ht="14.25">
      <c r="A741" s="45"/>
      <c r="B741" s="45"/>
      <c r="C741" s="45"/>
      <c r="D741" s="45"/>
      <c r="E741" s="45"/>
    </row>
    <row r="742" spans="1:5" ht="14.25">
      <c r="A742" s="45"/>
      <c r="B742" s="45"/>
      <c r="C742" s="45"/>
      <c r="D742" s="45"/>
      <c r="E742" s="45"/>
    </row>
    <row r="743" spans="1:5" ht="14.25">
      <c r="A743" s="45"/>
      <c r="B743" s="45"/>
      <c r="C743" s="45"/>
      <c r="D743" s="45"/>
      <c r="E743" s="45"/>
    </row>
    <row r="744" spans="1:5" ht="14.25">
      <c r="A744" s="45"/>
      <c r="B744" s="45"/>
      <c r="C744" s="45"/>
      <c r="D744" s="45"/>
      <c r="E744" s="45"/>
    </row>
    <row r="745" spans="1:5" ht="14.25">
      <c r="A745" s="45"/>
      <c r="B745" s="45"/>
      <c r="C745" s="45"/>
      <c r="D745" s="45"/>
      <c r="E745" s="45"/>
    </row>
    <row r="746" spans="1:5" ht="14.25">
      <c r="A746" s="45"/>
      <c r="B746" s="45"/>
      <c r="C746" s="45"/>
      <c r="D746" s="45"/>
      <c r="E746" s="45"/>
    </row>
    <row r="747" spans="1:5" ht="14.25">
      <c r="A747" s="45"/>
      <c r="B747" s="45"/>
      <c r="C747" s="45"/>
      <c r="D747" s="45"/>
      <c r="E747" s="45"/>
    </row>
    <row r="748" spans="1:5" ht="14.25">
      <c r="A748" s="45"/>
      <c r="B748" s="45"/>
      <c r="C748" s="45"/>
      <c r="D748" s="45"/>
      <c r="E748" s="45"/>
    </row>
    <row r="749" spans="1:5" ht="14.25">
      <c r="A749" s="45"/>
      <c r="B749" s="45"/>
      <c r="C749" s="45"/>
      <c r="D749" s="45"/>
      <c r="E749" s="45"/>
    </row>
    <row r="750" spans="1:5" ht="14.25">
      <c r="A750" s="45"/>
      <c r="B750" s="45"/>
      <c r="C750" s="45"/>
      <c r="D750" s="45"/>
      <c r="E750" s="45"/>
    </row>
    <row r="751" spans="1:5" ht="14.25">
      <c r="A751" s="45"/>
      <c r="B751" s="45"/>
      <c r="C751" s="45"/>
      <c r="D751" s="45"/>
      <c r="E751" s="45"/>
    </row>
    <row r="752" spans="1:5" ht="14.25">
      <c r="A752" s="45"/>
      <c r="B752" s="45"/>
      <c r="C752" s="45"/>
      <c r="D752" s="45"/>
      <c r="E752" s="45"/>
    </row>
    <row r="753" spans="1:5" ht="14.25">
      <c r="A753" s="45"/>
      <c r="B753" s="45"/>
      <c r="C753" s="45"/>
      <c r="D753" s="45"/>
      <c r="E753" s="45"/>
    </row>
    <row r="754" spans="1:5" ht="14.25">
      <c r="A754" s="45"/>
      <c r="B754" s="45"/>
      <c r="C754" s="45"/>
      <c r="D754" s="45"/>
      <c r="E754" s="45"/>
    </row>
    <row r="755" spans="1:5" ht="14.25">
      <c r="A755" s="45"/>
      <c r="B755" s="45"/>
      <c r="C755" s="45"/>
      <c r="D755" s="45"/>
      <c r="E755" s="45"/>
    </row>
    <row r="756" spans="1:5" ht="14.25">
      <c r="A756" s="45"/>
      <c r="B756" s="45"/>
      <c r="C756" s="45"/>
      <c r="D756" s="45"/>
      <c r="E756" s="45"/>
    </row>
    <row r="757" spans="1:5" ht="14.25">
      <c r="A757" s="45"/>
      <c r="B757" s="45"/>
      <c r="C757" s="45"/>
      <c r="D757" s="45"/>
      <c r="E757" s="45"/>
    </row>
    <row r="758" spans="1:5" ht="14.25">
      <c r="A758" s="45"/>
      <c r="B758" s="45"/>
      <c r="C758" s="45"/>
      <c r="D758" s="45"/>
      <c r="E758" s="45"/>
    </row>
    <row r="759" spans="1:5" ht="14.25">
      <c r="A759" s="45"/>
      <c r="B759" s="45"/>
      <c r="C759" s="45"/>
      <c r="D759" s="45"/>
      <c r="E759" s="45"/>
    </row>
    <row r="760" spans="1:5" ht="14.25">
      <c r="A760" s="45"/>
      <c r="B760" s="45"/>
      <c r="C760" s="45"/>
      <c r="D760" s="45"/>
      <c r="E760" s="45"/>
    </row>
    <row r="761" spans="1:5" ht="14.25">
      <c r="A761" s="45"/>
      <c r="B761" s="45"/>
      <c r="C761" s="45"/>
      <c r="D761" s="45"/>
      <c r="E761" s="45"/>
    </row>
    <row r="762" spans="1:5" ht="14.25">
      <c r="A762" s="45"/>
      <c r="B762" s="45"/>
      <c r="C762" s="45"/>
      <c r="D762" s="45"/>
      <c r="E762" s="45"/>
    </row>
    <row r="763" spans="1:5" ht="14.25">
      <c r="A763" s="45"/>
      <c r="B763" s="45"/>
      <c r="C763" s="45"/>
      <c r="D763" s="45"/>
      <c r="E763" s="45"/>
    </row>
    <row r="764" spans="1:5" ht="14.25">
      <c r="A764" s="45"/>
      <c r="B764" s="45"/>
      <c r="C764" s="45"/>
      <c r="D764" s="45"/>
      <c r="E764" s="45"/>
    </row>
    <row r="765" spans="1:5" ht="14.25">
      <c r="A765" s="45"/>
      <c r="B765" s="45"/>
      <c r="C765" s="45"/>
      <c r="D765" s="45"/>
      <c r="E765" s="45"/>
    </row>
    <row r="766" spans="1:5" ht="14.25">
      <c r="A766" s="45"/>
      <c r="B766" s="45"/>
      <c r="C766" s="45"/>
      <c r="D766" s="45"/>
      <c r="E766" s="45"/>
    </row>
    <row r="767" spans="1:5" ht="14.25">
      <c r="A767" s="45"/>
      <c r="B767" s="45"/>
      <c r="C767" s="45"/>
      <c r="D767" s="45"/>
      <c r="E767" s="45"/>
    </row>
    <row r="768" spans="1:5" ht="14.25">
      <c r="A768" s="45"/>
      <c r="B768" s="45"/>
      <c r="C768" s="45"/>
      <c r="D768" s="45"/>
      <c r="E768" s="45"/>
    </row>
    <row r="769" spans="1:5" ht="14.25">
      <c r="A769" s="45"/>
      <c r="B769" s="45"/>
      <c r="C769" s="45"/>
      <c r="D769" s="45"/>
      <c r="E769" s="45"/>
    </row>
    <row r="770" spans="1:5" ht="14.25">
      <c r="A770" s="45"/>
      <c r="B770" s="45"/>
      <c r="C770" s="45"/>
      <c r="D770" s="45"/>
      <c r="E770" s="45"/>
    </row>
    <row r="771" spans="1:5" ht="14.25">
      <c r="A771" s="45"/>
      <c r="B771" s="45"/>
      <c r="C771" s="45"/>
      <c r="D771" s="45"/>
      <c r="E771" s="45"/>
    </row>
    <row r="772" spans="1:5" ht="14.25">
      <c r="A772" s="45"/>
      <c r="B772" s="45"/>
      <c r="C772" s="45"/>
      <c r="D772" s="45"/>
      <c r="E772" s="45"/>
    </row>
    <row r="773" spans="1:5" ht="14.25">
      <c r="A773" s="45"/>
      <c r="B773" s="45"/>
      <c r="C773" s="45"/>
      <c r="D773" s="45"/>
      <c r="E773" s="45"/>
    </row>
    <row r="774" spans="1:5" ht="14.25">
      <c r="A774" s="45"/>
      <c r="B774" s="45"/>
      <c r="C774" s="45"/>
      <c r="D774" s="45"/>
      <c r="E774" s="45"/>
    </row>
    <row r="775" spans="1:5" ht="14.25">
      <c r="A775" s="45"/>
      <c r="B775" s="45"/>
      <c r="C775" s="45"/>
      <c r="D775" s="45"/>
      <c r="E775" s="45"/>
    </row>
    <row r="776" spans="1:5" ht="14.25">
      <c r="A776" s="45"/>
      <c r="B776" s="45"/>
      <c r="C776" s="45"/>
      <c r="D776" s="45"/>
      <c r="E776" s="45"/>
    </row>
    <row r="777" spans="1:5" ht="14.25">
      <c r="A777" s="45"/>
      <c r="B777" s="45"/>
      <c r="C777" s="45"/>
      <c r="D777" s="45"/>
      <c r="E777" s="45"/>
    </row>
    <row r="778" spans="1:5" ht="14.25">
      <c r="A778" s="45"/>
      <c r="B778" s="45"/>
      <c r="C778" s="45"/>
      <c r="D778" s="45"/>
      <c r="E778" s="45"/>
    </row>
    <row r="779" spans="1:12" ht="14.25">
      <c r="A779" s="45"/>
      <c r="B779" s="45"/>
      <c r="C779" s="45"/>
      <c r="D779" s="45"/>
      <c r="E779" s="45"/>
      <c r="L779" s="50" t="s">
        <v>28</v>
      </c>
    </row>
    <row r="780" spans="1:12" ht="14.25">
      <c r="A780" s="45"/>
      <c r="B780" s="45"/>
      <c r="C780" s="45"/>
      <c r="D780" s="45"/>
      <c r="E780" s="45"/>
      <c r="L780" s="50" t="s">
        <v>29</v>
      </c>
    </row>
    <row r="781" spans="1:12" ht="14.25">
      <c r="A781" s="45"/>
      <c r="B781" s="45"/>
      <c r="C781" s="45"/>
      <c r="D781" s="45"/>
      <c r="E781" s="45"/>
      <c r="L781" s="50" t="s">
        <v>30</v>
      </c>
    </row>
    <row r="782" spans="1:5" ht="14.25">
      <c r="A782" s="45"/>
      <c r="B782" s="45"/>
      <c r="C782" s="45"/>
      <c r="D782" s="45"/>
      <c r="E782" s="45"/>
    </row>
    <row r="783" spans="1:5" ht="14.25">
      <c r="A783" s="45"/>
      <c r="B783" s="45"/>
      <c r="C783" s="45"/>
      <c r="D783" s="45"/>
      <c r="E783" s="45"/>
    </row>
    <row r="784" spans="1:5" ht="14.25">
      <c r="A784" s="45"/>
      <c r="B784" s="45"/>
      <c r="C784" s="45"/>
      <c r="D784" s="45"/>
      <c r="E784" s="45"/>
    </row>
    <row r="785" spans="1:5" ht="14.25">
      <c r="A785" s="45"/>
      <c r="B785" s="45"/>
      <c r="C785" s="45"/>
      <c r="D785" s="45"/>
      <c r="E785" s="45"/>
    </row>
    <row r="786" spans="1:5" ht="14.25">
      <c r="A786" s="45"/>
      <c r="B786" s="45"/>
      <c r="C786" s="45"/>
      <c r="D786" s="45"/>
      <c r="E786" s="45"/>
    </row>
    <row r="787" spans="1:5" ht="14.25">
      <c r="A787" s="45"/>
      <c r="B787" s="45"/>
      <c r="C787" s="45"/>
      <c r="D787" s="45"/>
      <c r="E787" s="45"/>
    </row>
    <row r="788" spans="1:5" ht="14.25">
      <c r="A788" s="45"/>
      <c r="B788" s="45"/>
      <c r="C788" s="45"/>
      <c r="D788" s="45"/>
      <c r="E788" s="45"/>
    </row>
    <row r="789" spans="1:5" ht="14.25">
      <c r="A789" s="45"/>
      <c r="B789" s="45"/>
      <c r="C789" s="45"/>
      <c r="D789" s="45"/>
      <c r="E789" s="45"/>
    </row>
    <row r="790" spans="1:5" ht="14.25">
      <c r="A790" s="45"/>
      <c r="B790" s="45"/>
      <c r="C790" s="45"/>
      <c r="D790" s="45"/>
      <c r="E790" s="45"/>
    </row>
    <row r="791" spans="1:5" ht="14.25">
      <c r="A791" s="45"/>
      <c r="B791" s="45"/>
      <c r="C791" s="45"/>
      <c r="D791" s="45"/>
      <c r="E791" s="45"/>
    </row>
    <row r="792" spans="1:5" ht="14.25">
      <c r="A792" s="45"/>
      <c r="B792" s="45"/>
      <c r="C792" s="45"/>
      <c r="D792" s="45"/>
      <c r="E792" s="45"/>
    </row>
    <row r="793" spans="1:5" ht="14.25">
      <c r="A793" s="45"/>
      <c r="B793" s="45"/>
      <c r="C793" s="45"/>
      <c r="D793" s="45"/>
      <c r="E793" s="45"/>
    </row>
    <row r="794" spans="1:5" ht="14.25">
      <c r="A794" s="45"/>
      <c r="B794" s="45"/>
      <c r="C794" s="45"/>
      <c r="D794" s="45"/>
      <c r="E794" s="45"/>
    </row>
    <row r="795" spans="1:5" ht="14.25">
      <c r="A795" s="45"/>
      <c r="B795" s="45"/>
      <c r="C795" s="45"/>
      <c r="D795" s="45"/>
      <c r="E795" s="45"/>
    </row>
    <row r="796" spans="1:5" ht="14.25">
      <c r="A796" s="45"/>
      <c r="B796" s="45"/>
      <c r="C796" s="45"/>
      <c r="D796" s="45"/>
      <c r="E796" s="45"/>
    </row>
    <row r="806" ht="14.25">
      <c r="C806" s="45"/>
    </row>
  </sheetData>
  <sheetProtection/>
  <mergeCells count="2">
    <mergeCell ref="E40:G40"/>
    <mergeCell ref="E64:G64"/>
  </mergeCells>
  <hyperlinks>
    <hyperlink ref="K12" r:id="rId1" display="http://www.ons.gov.uk/ons/datasets-and-tables/data-selector.html?cdid=D7BT&amp;dataset=mm23&amp;table-id=1.1"/>
  </hyperlinks>
  <printOptions gridLines="1" headings="1"/>
  <pageMargins left="0.17" right="0.18" top="0.27" bottom="0.3" header="0.2" footer="0.21"/>
  <pageSetup horizontalDpi="600" verticalDpi="600" orientation="landscape" paperSize="9" scale="50" r:id="rId2"/>
</worksheet>
</file>

<file path=xl/worksheets/sheet11.xml><?xml version="1.0" encoding="utf-8"?>
<worksheet xmlns="http://schemas.openxmlformats.org/spreadsheetml/2006/main" xmlns:r="http://schemas.openxmlformats.org/officeDocument/2006/relationships">
  <sheetPr codeName="Sheet9"/>
  <dimension ref="A1:EC340"/>
  <sheetViews>
    <sheetView zoomScale="75" zoomScaleNormal="75" zoomScalePageLayoutView="0" workbookViewId="0" topLeftCell="A1">
      <selection activeCell="D71" sqref="D71"/>
    </sheetView>
  </sheetViews>
  <sheetFormatPr defaultColWidth="9.140625" defaultRowHeight="15"/>
  <cols>
    <col min="1" max="1" width="2.28125" style="424" customWidth="1"/>
    <col min="2" max="2" width="55.57421875" style="424" customWidth="1"/>
    <col min="3" max="3" width="14.57421875" style="424" customWidth="1"/>
    <col min="4" max="4" width="16.7109375" style="424" customWidth="1"/>
    <col min="5" max="5" width="29.28125" style="424" customWidth="1"/>
    <col min="6" max="6" width="14.57421875" style="424" customWidth="1"/>
    <col min="7" max="7" width="23.421875" style="424" customWidth="1"/>
    <col min="8" max="8" width="26.00390625" style="424" customWidth="1"/>
    <col min="9" max="9" width="12.00390625" style="424" customWidth="1"/>
    <col min="10" max="10" width="21.7109375" style="424" customWidth="1"/>
    <col min="11" max="11" width="25.8515625" style="424" customWidth="1"/>
    <col min="12" max="12" width="27.57421875" style="424" bestFit="1" customWidth="1"/>
    <col min="13" max="13" width="12.28125" style="424" customWidth="1"/>
    <col min="14" max="14" width="12.7109375" style="424" customWidth="1"/>
    <col min="15" max="15" width="18.8515625" style="424" customWidth="1"/>
    <col min="16" max="16384" width="9.140625" style="424" customWidth="1"/>
  </cols>
  <sheetData>
    <row r="1" spans="2:133" s="354" customFormat="1" ht="23.25">
      <c r="B1" s="352" t="s">
        <v>317</v>
      </c>
      <c r="C1" s="353"/>
      <c r="D1" s="353"/>
      <c r="E1" s="355" t="s">
        <v>177</v>
      </c>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53"/>
      <c r="BH1" s="353"/>
      <c r="BI1" s="353"/>
      <c r="BJ1" s="353"/>
      <c r="BK1" s="353"/>
      <c r="BL1" s="353"/>
      <c r="BM1" s="353"/>
      <c r="BN1" s="353"/>
      <c r="BO1" s="353"/>
      <c r="BP1" s="353"/>
      <c r="BQ1" s="353"/>
      <c r="BR1" s="353"/>
      <c r="BS1" s="353"/>
      <c r="BT1" s="353"/>
      <c r="BU1" s="353"/>
      <c r="BV1" s="353"/>
      <c r="BW1" s="353"/>
      <c r="BX1" s="353"/>
      <c r="BY1" s="353"/>
      <c r="BZ1" s="353"/>
      <c r="CA1" s="353"/>
      <c r="CB1" s="353"/>
      <c r="CC1" s="353"/>
      <c r="CD1" s="353"/>
      <c r="CE1" s="353"/>
      <c r="CF1" s="353"/>
      <c r="CG1" s="353"/>
      <c r="CH1" s="353"/>
      <c r="CI1" s="353"/>
      <c r="CJ1" s="353"/>
      <c r="CK1" s="353"/>
      <c r="CL1" s="353"/>
      <c r="CM1" s="353"/>
      <c r="CN1" s="353"/>
      <c r="CO1" s="353"/>
      <c r="CP1" s="353"/>
      <c r="CQ1" s="353"/>
      <c r="CR1" s="353"/>
      <c r="CS1" s="353"/>
      <c r="CT1" s="353"/>
      <c r="CU1" s="353"/>
      <c r="CV1" s="353"/>
      <c r="CW1" s="353"/>
      <c r="CX1" s="353"/>
      <c r="CY1" s="353"/>
      <c r="CZ1" s="353"/>
      <c r="DA1" s="353"/>
      <c r="DB1" s="353"/>
      <c r="DC1" s="353"/>
      <c r="DD1" s="353"/>
      <c r="DE1" s="353"/>
      <c r="DF1" s="353"/>
      <c r="DG1" s="353"/>
      <c r="DH1" s="353"/>
      <c r="DI1" s="353"/>
      <c r="DJ1" s="353"/>
      <c r="DK1" s="353"/>
      <c r="DL1" s="353"/>
      <c r="DM1" s="353"/>
      <c r="DN1" s="353"/>
      <c r="DO1" s="353"/>
      <c r="DP1" s="353"/>
      <c r="DQ1" s="353"/>
      <c r="DR1" s="353"/>
      <c r="DS1" s="353"/>
      <c r="DT1" s="353"/>
      <c r="DU1" s="353"/>
      <c r="DV1" s="353"/>
      <c r="DW1" s="353"/>
      <c r="DX1" s="353"/>
      <c r="DY1" s="353"/>
      <c r="DZ1" s="353"/>
      <c r="EA1" s="353"/>
      <c r="EB1" s="353"/>
      <c r="EC1" s="353"/>
    </row>
    <row r="2" spans="2:133" s="354" customFormat="1" ht="11.25" customHeight="1" thickBot="1">
      <c r="B2" s="352"/>
      <c r="C2" s="353"/>
      <c r="D2" s="353"/>
      <c r="E2" s="355"/>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353"/>
      <c r="BN2" s="353"/>
      <c r="BO2" s="353"/>
      <c r="BP2" s="353"/>
      <c r="BQ2" s="353"/>
      <c r="BR2" s="353"/>
      <c r="BS2" s="353"/>
      <c r="BT2" s="353"/>
      <c r="BU2" s="353"/>
      <c r="BV2" s="353"/>
      <c r="BW2" s="353"/>
      <c r="BX2" s="353"/>
      <c r="BY2" s="353"/>
      <c r="BZ2" s="353"/>
      <c r="CA2" s="353"/>
      <c r="CB2" s="353"/>
      <c r="CC2" s="353"/>
      <c r="CD2" s="353"/>
      <c r="CE2" s="353"/>
      <c r="CF2" s="353"/>
      <c r="CG2" s="353"/>
      <c r="CH2" s="353"/>
      <c r="CI2" s="353"/>
      <c r="CJ2" s="353"/>
      <c r="CK2" s="353"/>
      <c r="CL2" s="353"/>
      <c r="CM2" s="353"/>
      <c r="CN2" s="353"/>
      <c r="CO2" s="353"/>
      <c r="CP2" s="353"/>
      <c r="CQ2" s="353"/>
      <c r="CR2" s="353"/>
      <c r="CS2" s="353"/>
      <c r="CT2" s="353"/>
      <c r="CU2" s="353"/>
      <c r="CV2" s="353"/>
      <c r="CW2" s="353"/>
      <c r="CX2" s="353"/>
      <c r="CY2" s="353"/>
      <c r="CZ2" s="353"/>
      <c r="DA2" s="353"/>
      <c r="DB2" s="353"/>
      <c r="DC2" s="353"/>
      <c r="DD2" s="353"/>
      <c r="DE2" s="353"/>
      <c r="DF2" s="353"/>
      <c r="DG2" s="353"/>
      <c r="DH2" s="353"/>
      <c r="DI2" s="353"/>
      <c r="DJ2" s="353"/>
      <c r="DK2" s="353"/>
      <c r="DL2" s="353"/>
      <c r="DM2" s="353"/>
      <c r="DN2" s="353"/>
      <c r="DO2" s="353"/>
      <c r="DP2" s="353"/>
      <c r="DQ2" s="353"/>
      <c r="DR2" s="353"/>
      <c r="DS2" s="353"/>
      <c r="DT2" s="353"/>
      <c r="DU2" s="353"/>
      <c r="DV2" s="353"/>
      <c r="DW2" s="353"/>
      <c r="DX2" s="353"/>
      <c r="DY2" s="353"/>
      <c r="DZ2" s="353"/>
      <c r="EA2" s="353"/>
      <c r="EB2" s="353"/>
      <c r="EC2" s="353"/>
    </row>
    <row r="3" spans="2:133" s="354" customFormat="1" ht="15.75">
      <c r="B3" s="356" t="s">
        <v>318</v>
      </c>
      <c r="C3" s="357"/>
      <c r="D3" s="357"/>
      <c r="E3" s="358"/>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3"/>
      <c r="AX3" s="353"/>
      <c r="AY3" s="353"/>
      <c r="AZ3" s="353"/>
      <c r="BA3" s="353"/>
      <c r="BB3" s="353"/>
      <c r="BC3" s="353"/>
      <c r="BD3" s="353"/>
      <c r="BE3" s="353"/>
      <c r="BF3" s="353"/>
      <c r="BG3" s="353"/>
      <c r="BH3" s="353"/>
      <c r="BI3" s="353"/>
      <c r="BJ3" s="353"/>
      <c r="BK3" s="353"/>
      <c r="BL3" s="353"/>
      <c r="BM3" s="353"/>
      <c r="BN3" s="353"/>
      <c r="BO3" s="353"/>
      <c r="BP3" s="353"/>
      <c r="BQ3" s="353"/>
      <c r="BR3" s="353"/>
      <c r="BS3" s="353"/>
      <c r="BT3" s="353"/>
      <c r="BU3" s="353"/>
      <c r="BV3" s="353"/>
      <c r="BW3" s="353"/>
      <c r="BX3" s="353"/>
      <c r="BY3" s="353"/>
      <c r="BZ3" s="353"/>
      <c r="CA3" s="353"/>
      <c r="CB3" s="353"/>
      <c r="CC3" s="353"/>
      <c r="CD3" s="353"/>
      <c r="CE3" s="353"/>
      <c r="CF3" s="353"/>
      <c r="CG3" s="353"/>
      <c r="CH3" s="353"/>
      <c r="CI3" s="353"/>
      <c r="CJ3" s="353"/>
      <c r="CK3" s="353"/>
      <c r="CL3" s="353"/>
      <c r="CM3" s="353"/>
      <c r="CN3" s="353"/>
      <c r="CO3" s="353"/>
      <c r="CP3" s="353"/>
      <c r="CQ3" s="353"/>
      <c r="CR3" s="353"/>
      <c r="CS3" s="353"/>
      <c r="CT3" s="353"/>
      <c r="CU3" s="353"/>
      <c r="CV3" s="353"/>
      <c r="CW3" s="353"/>
      <c r="CX3" s="353"/>
      <c r="CY3" s="353"/>
      <c r="CZ3" s="353"/>
      <c r="DA3" s="353"/>
      <c r="DB3" s="353"/>
      <c r="DC3" s="353"/>
      <c r="DD3" s="353"/>
      <c r="DE3" s="353"/>
      <c r="DF3" s="353"/>
      <c r="DG3" s="353"/>
      <c r="DH3" s="353"/>
      <c r="DI3" s="353"/>
      <c r="DJ3" s="353"/>
      <c r="DK3" s="353"/>
      <c r="DL3" s="353"/>
      <c r="DM3" s="353"/>
      <c r="DN3" s="353"/>
      <c r="DO3" s="353"/>
      <c r="DP3" s="353"/>
      <c r="DQ3" s="353"/>
      <c r="DR3" s="353"/>
      <c r="DS3" s="353"/>
      <c r="DT3" s="353"/>
      <c r="DU3" s="353"/>
      <c r="DV3" s="353"/>
      <c r="DW3" s="353"/>
      <c r="DX3" s="353"/>
      <c r="DY3" s="353"/>
      <c r="DZ3" s="353"/>
      <c r="EA3" s="353"/>
      <c r="EB3" s="353"/>
      <c r="EC3" s="353"/>
    </row>
    <row r="4" spans="2:133" s="354" customFormat="1" ht="15.75">
      <c r="B4" s="359" t="s">
        <v>319</v>
      </c>
      <c r="C4" s="360"/>
      <c r="D4" s="688">
        <v>0.6</v>
      </c>
      <c r="E4" s="361" t="s">
        <v>106</v>
      </c>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353"/>
      <c r="BJ4" s="353"/>
      <c r="BK4" s="353"/>
      <c r="BL4" s="353"/>
      <c r="BM4" s="353"/>
      <c r="BN4" s="353"/>
      <c r="BO4" s="353"/>
      <c r="BP4" s="353"/>
      <c r="BQ4" s="353"/>
      <c r="BR4" s="353"/>
      <c r="BS4" s="353"/>
      <c r="BT4" s="353"/>
      <c r="BU4" s="353"/>
      <c r="BV4" s="353"/>
      <c r="BW4" s="353"/>
      <c r="BX4" s="353"/>
      <c r="BY4" s="353"/>
      <c r="BZ4" s="353"/>
      <c r="CA4" s="353"/>
      <c r="CB4" s="353"/>
      <c r="CC4" s="353"/>
      <c r="CD4" s="353"/>
      <c r="CE4" s="353"/>
      <c r="CF4" s="353"/>
      <c r="CG4" s="353"/>
      <c r="CH4" s="353"/>
      <c r="CI4" s="353"/>
      <c r="CJ4" s="353"/>
      <c r="CK4" s="353"/>
      <c r="CL4" s="353"/>
      <c r="CM4" s="353"/>
      <c r="CN4" s="353"/>
      <c r="CO4" s="353"/>
      <c r="CP4" s="353"/>
      <c r="CQ4" s="353"/>
      <c r="CR4" s="353"/>
      <c r="CS4" s="353"/>
      <c r="CT4" s="353"/>
      <c r="CU4" s="353"/>
      <c r="CV4" s="353"/>
      <c r="CW4" s="353"/>
      <c r="CX4" s="353"/>
      <c r="CY4" s="353"/>
      <c r="CZ4" s="353"/>
      <c r="DA4" s="353"/>
      <c r="DB4" s="353"/>
      <c r="DC4" s="353"/>
      <c r="DD4" s="353"/>
      <c r="DE4" s="353"/>
      <c r="DF4" s="353"/>
      <c r="DG4" s="353"/>
      <c r="DH4" s="353"/>
      <c r="DI4" s="353"/>
      <c r="DJ4" s="353"/>
      <c r="DK4" s="353"/>
      <c r="DL4" s="353"/>
      <c r="DM4" s="353"/>
      <c r="DN4" s="353"/>
      <c r="DO4" s="353"/>
      <c r="DP4" s="353"/>
      <c r="DQ4" s="353"/>
      <c r="DR4" s="353"/>
      <c r="DS4" s="353"/>
      <c r="DT4" s="353"/>
      <c r="DU4" s="353"/>
      <c r="DV4" s="353"/>
      <c r="DW4" s="353"/>
      <c r="DX4" s="353"/>
      <c r="DY4" s="353"/>
      <c r="DZ4" s="353"/>
      <c r="EA4" s="353"/>
      <c r="EB4" s="353"/>
      <c r="EC4" s="353"/>
    </row>
    <row r="5" spans="2:133" s="354" customFormat="1" ht="15.75">
      <c r="B5" s="359" t="s">
        <v>320</v>
      </c>
      <c r="C5" s="360"/>
      <c r="D5" s="689">
        <v>0.7</v>
      </c>
      <c r="E5" s="361" t="s">
        <v>106</v>
      </c>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353"/>
      <c r="BJ5" s="353"/>
      <c r="BK5" s="353"/>
      <c r="BL5" s="353"/>
      <c r="BM5" s="353"/>
      <c r="BN5" s="353"/>
      <c r="BO5" s="353"/>
      <c r="BP5" s="353"/>
      <c r="BQ5" s="353"/>
      <c r="BR5" s="353"/>
      <c r="BS5" s="353"/>
      <c r="BT5" s="353"/>
      <c r="BU5" s="353"/>
      <c r="BV5" s="353"/>
      <c r="BW5" s="353"/>
      <c r="BX5" s="353"/>
      <c r="BY5" s="353"/>
      <c r="BZ5" s="353"/>
      <c r="CA5" s="353"/>
      <c r="CB5" s="353"/>
      <c r="CC5" s="353"/>
      <c r="CD5" s="353"/>
      <c r="CE5" s="353"/>
      <c r="CF5" s="353"/>
      <c r="CG5" s="353"/>
      <c r="CH5" s="353"/>
      <c r="CI5" s="353"/>
      <c r="CJ5" s="353"/>
      <c r="CK5" s="353"/>
      <c r="CL5" s="353"/>
      <c r="CM5" s="353"/>
      <c r="CN5" s="353"/>
      <c r="CO5" s="353"/>
      <c r="CP5" s="353"/>
      <c r="CQ5" s="353"/>
      <c r="CR5" s="353"/>
      <c r="CS5" s="353"/>
      <c r="CT5" s="353"/>
      <c r="CU5" s="353"/>
      <c r="CV5" s="353"/>
      <c r="CW5" s="353"/>
      <c r="CX5" s="353"/>
      <c r="CY5" s="353"/>
      <c r="CZ5" s="353"/>
      <c r="DA5" s="353"/>
      <c r="DB5" s="353"/>
      <c r="DC5" s="353"/>
      <c r="DD5" s="353"/>
      <c r="DE5" s="353"/>
      <c r="DF5" s="353"/>
      <c r="DG5" s="353"/>
      <c r="DH5" s="353"/>
      <c r="DI5" s="353"/>
      <c r="DJ5" s="353"/>
      <c r="DK5" s="353"/>
      <c r="DL5" s="353"/>
      <c r="DM5" s="353"/>
      <c r="DN5" s="353"/>
      <c r="DO5" s="353"/>
      <c r="DP5" s="353"/>
      <c r="DQ5" s="353"/>
      <c r="DR5" s="353"/>
      <c r="DS5" s="353"/>
      <c r="DT5" s="353"/>
      <c r="DU5" s="353"/>
      <c r="DV5" s="353"/>
      <c r="DW5" s="353"/>
      <c r="DX5" s="353"/>
      <c r="DY5" s="353"/>
      <c r="DZ5" s="353"/>
      <c r="EA5" s="353"/>
      <c r="EB5" s="353"/>
      <c r="EC5" s="353"/>
    </row>
    <row r="6" spans="2:133" s="354" customFormat="1" ht="15.75">
      <c r="B6" s="359" t="s">
        <v>321</v>
      </c>
      <c r="C6" s="360"/>
      <c r="D6" s="689">
        <v>13.3</v>
      </c>
      <c r="E6" s="361" t="s">
        <v>106</v>
      </c>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353"/>
      <c r="CD6" s="353"/>
      <c r="CE6" s="353"/>
      <c r="CF6" s="353"/>
      <c r="CG6" s="353"/>
      <c r="CH6" s="353"/>
      <c r="CI6" s="353"/>
      <c r="CJ6" s="353"/>
      <c r="CK6" s="353"/>
      <c r="CL6" s="353"/>
      <c r="CM6" s="353"/>
      <c r="CN6" s="353"/>
      <c r="CO6" s="353"/>
      <c r="CP6" s="353"/>
      <c r="CQ6" s="353"/>
      <c r="CR6" s="353"/>
      <c r="CS6" s="353"/>
      <c r="CT6" s="353"/>
      <c r="CU6" s="353"/>
      <c r="CV6" s="353"/>
      <c r="CW6" s="353"/>
      <c r="CX6" s="353"/>
      <c r="CY6" s="353"/>
      <c r="CZ6" s="353"/>
      <c r="DA6" s="353"/>
      <c r="DB6" s="353"/>
      <c r="DC6" s="353"/>
      <c r="DD6" s="353"/>
      <c r="DE6" s="353"/>
      <c r="DF6" s="353"/>
      <c r="DG6" s="353"/>
      <c r="DH6" s="353"/>
      <c r="DI6" s="353"/>
      <c r="DJ6" s="353"/>
      <c r="DK6" s="353"/>
      <c r="DL6" s="353"/>
      <c r="DM6" s="353"/>
      <c r="DN6" s="353"/>
      <c r="DO6" s="353"/>
      <c r="DP6" s="353"/>
      <c r="DQ6" s="353"/>
      <c r="DR6" s="353"/>
      <c r="DS6" s="353"/>
      <c r="DT6" s="353"/>
      <c r="DU6" s="353"/>
      <c r="DV6" s="353"/>
      <c r="DW6" s="353"/>
      <c r="DX6" s="353"/>
      <c r="DY6" s="353"/>
      <c r="DZ6" s="353"/>
      <c r="EA6" s="353"/>
      <c r="EB6" s="353"/>
      <c r="EC6" s="353"/>
    </row>
    <row r="7" spans="2:133" s="354" customFormat="1" ht="15.75">
      <c r="B7" s="359" t="s">
        <v>480</v>
      </c>
      <c r="C7" s="360"/>
      <c r="D7" s="686">
        <v>10.9</v>
      </c>
      <c r="E7" s="361" t="s">
        <v>107</v>
      </c>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3"/>
      <c r="AW7" s="353"/>
      <c r="AX7" s="353"/>
      <c r="AY7" s="353"/>
      <c r="AZ7" s="353"/>
      <c r="BA7" s="353"/>
      <c r="BB7" s="353"/>
      <c r="BC7" s="353"/>
      <c r="BD7" s="353"/>
      <c r="BE7" s="353"/>
      <c r="BF7" s="353"/>
      <c r="BG7" s="353"/>
      <c r="BH7" s="353"/>
      <c r="BI7" s="353"/>
      <c r="BJ7" s="353"/>
      <c r="BK7" s="353"/>
      <c r="BL7" s="353"/>
      <c r="BM7" s="353"/>
      <c r="BN7" s="353"/>
      <c r="BO7" s="353"/>
      <c r="BP7" s="353"/>
      <c r="BQ7" s="353"/>
      <c r="BR7" s="353"/>
      <c r="BS7" s="353"/>
      <c r="BT7" s="353"/>
      <c r="BU7" s="353"/>
      <c r="BV7" s="353"/>
      <c r="BW7" s="353"/>
      <c r="BX7" s="353"/>
      <c r="BY7" s="353"/>
      <c r="BZ7" s="353"/>
      <c r="CA7" s="353"/>
      <c r="CB7" s="353"/>
      <c r="CC7" s="353"/>
      <c r="CD7" s="353"/>
      <c r="CE7" s="353"/>
      <c r="CF7" s="353"/>
      <c r="CG7" s="353"/>
      <c r="CH7" s="353"/>
      <c r="CI7" s="353"/>
      <c r="CJ7" s="353"/>
      <c r="CK7" s="353"/>
      <c r="CL7" s="353"/>
      <c r="CM7" s="353"/>
      <c r="CN7" s="353"/>
      <c r="CO7" s="353"/>
      <c r="CP7" s="353"/>
      <c r="CQ7" s="353"/>
      <c r="CR7" s="353"/>
      <c r="CS7" s="353"/>
      <c r="CT7" s="353"/>
      <c r="CU7" s="353"/>
      <c r="CV7" s="353"/>
      <c r="CW7" s="353"/>
      <c r="CX7" s="353"/>
      <c r="CY7" s="353"/>
      <c r="CZ7" s="353"/>
      <c r="DA7" s="353"/>
      <c r="DB7" s="353"/>
      <c r="DC7" s="353"/>
      <c r="DD7" s="353"/>
      <c r="DE7" s="353"/>
      <c r="DF7" s="353"/>
      <c r="DG7" s="353"/>
      <c r="DH7" s="353"/>
      <c r="DI7" s="353"/>
      <c r="DJ7" s="353"/>
      <c r="DK7" s="353"/>
      <c r="DL7" s="353"/>
      <c r="DM7" s="353"/>
      <c r="DN7" s="353"/>
      <c r="DO7" s="353"/>
      <c r="DP7" s="353"/>
      <c r="DQ7" s="353"/>
      <c r="DR7" s="353"/>
      <c r="DS7" s="353"/>
      <c r="DT7" s="353"/>
      <c r="DU7" s="353"/>
      <c r="DV7" s="353"/>
      <c r="DW7" s="353"/>
      <c r="DX7" s="353"/>
      <c r="DY7" s="353"/>
      <c r="DZ7" s="353"/>
      <c r="EA7" s="353"/>
      <c r="EB7" s="353"/>
      <c r="EC7" s="353"/>
    </row>
    <row r="8" spans="2:133" s="354" customFormat="1" ht="15.75">
      <c r="B8" s="692" t="s">
        <v>22</v>
      </c>
      <c r="C8" s="360"/>
      <c r="D8" s="686">
        <v>17.8</v>
      </c>
      <c r="E8" s="361" t="s">
        <v>107</v>
      </c>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c r="BC8" s="353"/>
      <c r="BD8" s="353"/>
      <c r="BE8" s="353"/>
      <c r="BF8" s="353"/>
      <c r="BG8" s="353"/>
      <c r="BH8" s="353"/>
      <c r="BI8" s="353"/>
      <c r="BJ8" s="353"/>
      <c r="BK8" s="353"/>
      <c r="BL8" s="353"/>
      <c r="BM8" s="353"/>
      <c r="BN8" s="353"/>
      <c r="BO8" s="353"/>
      <c r="BP8" s="353"/>
      <c r="BQ8" s="353"/>
      <c r="BR8" s="353"/>
      <c r="BS8" s="353"/>
      <c r="BT8" s="353"/>
      <c r="BU8" s="353"/>
      <c r="BV8" s="353"/>
      <c r="BW8" s="353"/>
      <c r="BX8" s="353"/>
      <c r="BY8" s="353"/>
      <c r="BZ8" s="353"/>
      <c r="CA8" s="353"/>
      <c r="CB8" s="353"/>
      <c r="CC8" s="353"/>
      <c r="CD8" s="353"/>
      <c r="CE8" s="353"/>
      <c r="CF8" s="353"/>
      <c r="CG8" s="353"/>
      <c r="CH8" s="353"/>
      <c r="CI8" s="353"/>
      <c r="CJ8" s="353"/>
      <c r="CK8" s="353"/>
      <c r="CL8" s="353"/>
      <c r="CM8" s="353"/>
      <c r="CN8" s="353"/>
      <c r="CO8" s="353"/>
      <c r="CP8" s="353"/>
      <c r="CQ8" s="353"/>
      <c r="CR8" s="353"/>
      <c r="CS8" s="353"/>
      <c r="CT8" s="353"/>
      <c r="CU8" s="353"/>
      <c r="CV8" s="353"/>
      <c r="CW8" s="353"/>
      <c r="CX8" s="353"/>
      <c r="CY8" s="353"/>
      <c r="CZ8" s="353"/>
      <c r="DA8" s="353"/>
      <c r="DB8" s="353"/>
      <c r="DC8" s="353"/>
      <c r="DD8" s="353"/>
      <c r="DE8" s="353"/>
      <c r="DF8" s="353"/>
      <c r="DG8" s="353"/>
      <c r="DH8" s="353"/>
      <c r="DI8" s="353"/>
      <c r="DJ8" s="353"/>
      <c r="DK8" s="353"/>
      <c r="DL8" s="353"/>
      <c r="DM8" s="353"/>
      <c r="DN8" s="353"/>
      <c r="DO8" s="353"/>
      <c r="DP8" s="353"/>
      <c r="DQ8" s="353"/>
      <c r="DR8" s="353"/>
      <c r="DS8" s="353"/>
      <c r="DT8" s="353"/>
      <c r="DU8" s="353"/>
      <c r="DV8" s="353"/>
      <c r="DW8" s="353"/>
      <c r="DX8" s="353"/>
      <c r="DY8" s="353"/>
      <c r="DZ8" s="353"/>
      <c r="EA8" s="353"/>
      <c r="EB8" s="353"/>
      <c r="EC8" s="353"/>
    </row>
    <row r="9" spans="2:133" s="354" customFormat="1" ht="15.75">
      <c r="B9" s="692" t="s">
        <v>367</v>
      </c>
      <c r="C9" s="360"/>
      <c r="D9" s="686">
        <v>10</v>
      </c>
      <c r="E9" s="361" t="s">
        <v>107</v>
      </c>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c r="BC9" s="353"/>
      <c r="BD9" s="353"/>
      <c r="BE9" s="353"/>
      <c r="BF9" s="353"/>
      <c r="BG9" s="353"/>
      <c r="BH9" s="353"/>
      <c r="BI9" s="353"/>
      <c r="BJ9" s="353"/>
      <c r="BK9" s="353"/>
      <c r="BL9" s="353"/>
      <c r="BM9" s="353"/>
      <c r="BN9" s="353"/>
      <c r="BO9" s="353"/>
      <c r="BP9" s="353"/>
      <c r="BQ9" s="353"/>
      <c r="BR9" s="353"/>
      <c r="BS9" s="353"/>
      <c r="BT9" s="353"/>
      <c r="BU9" s="353"/>
      <c r="BV9" s="353"/>
      <c r="BW9" s="353"/>
      <c r="BX9" s="353"/>
      <c r="BY9" s="353"/>
      <c r="BZ9" s="353"/>
      <c r="CA9" s="353"/>
      <c r="CB9" s="353"/>
      <c r="CC9" s="353"/>
      <c r="CD9" s="353"/>
      <c r="CE9" s="353"/>
      <c r="CF9" s="353"/>
      <c r="CG9" s="353"/>
      <c r="CH9" s="353"/>
      <c r="CI9" s="353"/>
      <c r="CJ9" s="353"/>
      <c r="CK9" s="353"/>
      <c r="CL9" s="353"/>
      <c r="CM9" s="353"/>
      <c r="CN9" s="353"/>
      <c r="CO9" s="353"/>
      <c r="CP9" s="353"/>
      <c r="CQ9" s="353"/>
      <c r="CR9" s="353"/>
      <c r="CS9" s="353"/>
      <c r="CT9" s="353"/>
      <c r="CU9" s="353"/>
      <c r="CV9" s="353"/>
      <c r="CW9" s="353"/>
      <c r="CX9" s="353"/>
      <c r="CY9" s="353"/>
      <c r="CZ9" s="353"/>
      <c r="DA9" s="353"/>
      <c r="DB9" s="353"/>
      <c r="DC9" s="353"/>
      <c r="DD9" s="353"/>
      <c r="DE9" s="353"/>
      <c r="DF9" s="353"/>
      <c r="DG9" s="353"/>
      <c r="DH9" s="353"/>
      <c r="DI9" s="353"/>
      <c r="DJ9" s="353"/>
      <c r="DK9" s="353"/>
      <c r="DL9" s="353"/>
      <c r="DM9" s="353"/>
      <c r="DN9" s="353"/>
      <c r="DO9" s="353"/>
      <c r="DP9" s="353"/>
      <c r="DQ9" s="353"/>
      <c r="DR9" s="353"/>
      <c r="DS9" s="353"/>
      <c r="DT9" s="353"/>
      <c r="DU9" s="353"/>
      <c r="DV9" s="353"/>
      <c r="DW9" s="353"/>
      <c r="DX9" s="353"/>
      <c r="DY9" s="353"/>
      <c r="DZ9" s="353"/>
      <c r="EA9" s="353"/>
      <c r="EB9" s="353"/>
      <c r="EC9" s="353"/>
    </row>
    <row r="10" spans="2:133" s="354" customFormat="1" ht="15.75">
      <c r="B10" s="692" t="s">
        <v>175</v>
      </c>
      <c r="C10" s="360"/>
      <c r="D10" s="686">
        <v>4.9</v>
      </c>
      <c r="E10" s="361" t="s">
        <v>107</v>
      </c>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c r="BC10" s="353"/>
      <c r="BD10" s="353"/>
      <c r="BE10" s="353"/>
      <c r="BF10" s="353"/>
      <c r="BG10" s="353"/>
      <c r="BH10" s="353"/>
      <c r="BI10" s="353"/>
      <c r="BJ10" s="353"/>
      <c r="BK10" s="353"/>
      <c r="BL10" s="353"/>
      <c r="BM10" s="353"/>
      <c r="BN10" s="353"/>
      <c r="BO10" s="353"/>
      <c r="BP10" s="353"/>
      <c r="BQ10" s="353"/>
      <c r="BR10" s="353"/>
      <c r="BS10" s="353"/>
      <c r="BT10" s="353"/>
      <c r="BU10" s="353"/>
      <c r="BV10" s="353"/>
      <c r="BW10" s="353"/>
      <c r="BX10" s="353"/>
      <c r="BY10" s="353"/>
      <c r="BZ10" s="353"/>
      <c r="CA10" s="353"/>
      <c r="CB10" s="353"/>
      <c r="CC10" s="353"/>
      <c r="CD10" s="353"/>
      <c r="CE10" s="353"/>
      <c r="CF10" s="353"/>
      <c r="CG10" s="353"/>
      <c r="CH10" s="353"/>
      <c r="CI10" s="353"/>
      <c r="CJ10" s="353"/>
      <c r="CK10" s="353"/>
      <c r="CL10" s="353"/>
      <c r="CM10" s="353"/>
      <c r="CN10" s="353"/>
      <c r="CO10" s="353"/>
      <c r="CP10" s="353"/>
      <c r="CQ10" s="353"/>
      <c r="CR10" s="353"/>
      <c r="CS10" s="353"/>
      <c r="CT10" s="353"/>
      <c r="CU10" s="353"/>
      <c r="CV10" s="353"/>
      <c r="CW10" s="353"/>
      <c r="CX10" s="353"/>
      <c r="CY10" s="353"/>
      <c r="CZ10" s="353"/>
      <c r="DA10" s="353"/>
      <c r="DB10" s="353"/>
      <c r="DC10" s="353"/>
      <c r="DD10" s="353"/>
      <c r="DE10" s="353"/>
      <c r="DF10" s="353"/>
      <c r="DG10" s="353"/>
      <c r="DH10" s="353"/>
      <c r="DI10" s="353"/>
      <c r="DJ10" s="353"/>
      <c r="DK10" s="353"/>
      <c r="DL10" s="353"/>
      <c r="DM10" s="353"/>
      <c r="DN10" s="353"/>
      <c r="DO10" s="353"/>
      <c r="DP10" s="353"/>
      <c r="DQ10" s="353"/>
      <c r="DR10" s="353"/>
      <c r="DS10" s="353"/>
      <c r="DT10" s="353"/>
      <c r="DU10" s="353"/>
      <c r="DV10" s="353"/>
      <c r="DW10" s="353"/>
      <c r="DX10" s="353"/>
      <c r="DY10" s="353"/>
      <c r="DZ10" s="353"/>
      <c r="EA10" s="353"/>
      <c r="EB10" s="353"/>
      <c r="EC10" s="353"/>
    </row>
    <row r="11" spans="2:133" s="354" customFormat="1" ht="15.75">
      <c r="B11" s="359" t="s">
        <v>365</v>
      </c>
      <c r="C11" s="360"/>
      <c r="D11" s="685">
        <v>1.5</v>
      </c>
      <c r="E11" s="361" t="s">
        <v>107</v>
      </c>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3"/>
      <c r="AZ11" s="353"/>
      <c r="BA11" s="353"/>
      <c r="BB11" s="353"/>
      <c r="BC11" s="353"/>
      <c r="BD11" s="353"/>
      <c r="BE11" s="353"/>
      <c r="BF11" s="353"/>
      <c r="BG11" s="353"/>
      <c r="BH11" s="353"/>
      <c r="BI11" s="353"/>
      <c r="BJ11" s="353"/>
      <c r="BK11" s="353"/>
      <c r="BL11" s="353"/>
      <c r="BM11" s="353"/>
      <c r="BN11" s="353"/>
      <c r="BO11" s="353"/>
      <c r="BP11" s="353"/>
      <c r="BQ11" s="353"/>
      <c r="BR11" s="353"/>
      <c r="BS11" s="353"/>
      <c r="BT11" s="353"/>
      <c r="BU11" s="353"/>
      <c r="BV11" s="353"/>
      <c r="BW11" s="353"/>
      <c r="BX11" s="353"/>
      <c r="BY11" s="353"/>
      <c r="BZ11" s="353"/>
      <c r="CA11" s="353"/>
      <c r="CB11" s="353"/>
      <c r="CC11" s="353"/>
      <c r="CD11" s="353"/>
      <c r="CE11" s="353"/>
      <c r="CF11" s="353"/>
      <c r="CG11" s="353"/>
      <c r="CH11" s="353"/>
      <c r="CI11" s="353"/>
      <c r="CJ11" s="353"/>
      <c r="CK11" s="353"/>
      <c r="CL11" s="353"/>
      <c r="CM11" s="353"/>
      <c r="CN11" s="353"/>
      <c r="CO11" s="353"/>
      <c r="CP11" s="353"/>
      <c r="CQ11" s="353"/>
      <c r="CR11" s="353"/>
      <c r="CS11" s="353"/>
      <c r="CT11" s="353"/>
      <c r="CU11" s="353"/>
      <c r="CV11" s="353"/>
      <c r="CW11" s="353"/>
      <c r="CX11" s="353"/>
      <c r="CY11" s="353"/>
      <c r="CZ11" s="353"/>
      <c r="DA11" s="353"/>
      <c r="DB11" s="353"/>
      <c r="DC11" s="353"/>
      <c r="DD11" s="353"/>
      <c r="DE11" s="353"/>
      <c r="DF11" s="353"/>
      <c r="DG11" s="353"/>
      <c r="DH11" s="353"/>
      <c r="DI11" s="353"/>
      <c r="DJ11" s="353"/>
      <c r="DK11" s="353"/>
      <c r="DL11" s="353"/>
      <c r="DM11" s="353"/>
      <c r="DN11" s="353"/>
      <c r="DO11" s="353"/>
      <c r="DP11" s="353"/>
      <c r="DQ11" s="353"/>
      <c r="DR11" s="353"/>
      <c r="DS11" s="353"/>
      <c r="DT11" s="353"/>
      <c r="DU11" s="353"/>
      <c r="DV11" s="353"/>
      <c r="DW11" s="353"/>
      <c r="DX11" s="353"/>
      <c r="DY11" s="353"/>
      <c r="DZ11" s="353"/>
      <c r="EA11" s="353"/>
      <c r="EB11" s="353"/>
      <c r="EC11" s="353"/>
    </row>
    <row r="12" spans="2:133" s="354" customFormat="1" ht="15.75">
      <c r="B12" s="359" t="s">
        <v>322</v>
      </c>
      <c r="C12" s="360"/>
      <c r="D12" s="687">
        <v>0.45</v>
      </c>
      <c r="E12" s="361" t="s">
        <v>107</v>
      </c>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3"/>
      <c r="AZ12" s="353"/>
      <c r="BA12" s="353"/>
      <c r="BB12" s="353"/>
      <c r="BC12" s="353"/>
      <c r="BD12" s="353"/>
      <c r="BE12" s="353"/>
      <c r="BF12" s="353"/>
      <c r="BG12" s="353"/>
      <c r="BH12" s="353"/>
      <c r="BI12" s="353"/>
      <c r="BJ12" s="353"/>
      <c r="BK12" s="353"/>
      <c r="BL12" s="353"/>
      <c r="BM12" s="353"/>
      <c r="BN12" s="353"/>
      <c r="BO12" s="353"/>
      <c r="BP12" s="353"/>
      <c r="BQ12" s="353"/>
      <c r="BR12" s="353"/>
      <c r="BS12" s="353"/>
      <c r="BT12" s="353"/>
      <c r="BU12" s="353"/>
      <c r="BV12" s="353"/>
      <c r="BW12" s="353"/>
      <c r="BX12" s="353"/>
      <c r="BY12" s="353"/>
      <c r="BZ12" s="353"/>
      <c r="CA12" s="353"/>
      <c r="CB12" s="353"/>
      <c r="CC12" s="353"/>
      <c r="CD12" s="353"/>
      <c r="CE12" s="353"/>
      <c r="CF12" s="353"/>
      <c r="CG12" s="353"/>
      <c r="CH12" s="353"/>
      <c r="CI12" s="353"/>
      <c r="CJ12" s="353"/>
      <c r="CK12" s="353"/>
      <c r="CL12" s="353"/>
      <c r="CM12" s="353"/>
      <c r="CN12" s="353"/>
      <c r="CO12" s="353"/>
      <c r="CP12" s="353"/>
      <c r="CQ12" s="353"/>
      <c r="CR12" s="353"/>
      <c r="CS12" s="353"/>
      <c r="CT12" s="353"/>
      <c r="CU12" s="353"/>
      <c r="CV12" s="353"/>
      <c r="CW12" s="353"/>
      <c r="CX12" s="353"/>
      <c r="CY12" s="353"/>
      <c r="CZ12" s="353"/>
      <c r="DA12" s="353"/>
      <c r="DB12" s="353"/>
      <c r="DC12" s="353"/>
      <c r="DD12" s="353"/>
      <c r="DE12" s="353"/>
      <c r="DF12" s="353"/>
      <c r="DG12" s="353"/>
      <c r="DH12" s="353"/>
      <c r="DI12" s="353"/>
      <c r="DJ12" s="353"/>
      <c r="DK12" s="353"/>
      <c r="DL12" s="353"/>
      <c r="DM12" s="353"/>
      <c r="DN12" s="353"/>
      <c r="DO12" s="353"/>
      <c r="DP12" s="353"/>
      <c r="DQ12" s="353"/>
      <c r="DR12" s="353"/>
      <c r="DS12" s="353"/>
      <c r="DT12" s="353"/>
      <c r="DU12" s="353"/>
      <c r="DV12" s="353"/>
      <c r="DW12" s="353"/>
      <c r="DX12" s="353"/>
      <c r="DY12" s="353"/>
      <c r="DZ12" s="353"/>
      <c r="EA12" s="353"/>
      <c r="EB12" s="353"/>
      <c r="EC12" s="353"/>
    </row>
    <row r="13" spans="2:133" s="354" customFormat="1" ht="15.75">
      <c r="B13" s="359" t="s">
        <v>275</v>
      </c>
      <c r="C13" s="360"/>
      <c r="D13" s="688">
        <v>0.66</v>
      </c>
      <c r="E13" s="361" t="s">
        <v>106</v>
      </c>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c r="AU13" s="353"/>
      <c r="AV13" s="353"/>
      <c r="AW13" s="353"/>
      <c r="AX13" s="353"/>
      <c r="AY13" s="353"/>
      <c r="AZ13" s="353"/>
      <c r="BA13" s="353"/>
      <c r="BB13" s="353"/>
      <c r="BC13" s="353"/>
      <c r="BD13" s="353"/>
      <c r="BE13" s="353"/>
      <c r="BF13" s="353"/>
      <c r="BG13" s="353"/>
      <c r="BH13" s="353"/>
      <c r="BI13" s="353"/>
      <c r="BJ13" s="353"/>
      <c r="BK13" s="353"/>
      <c r="BL13" s="353"/>
      <c r="BM13" s="353"/>
      <c r="BN13" s="353"/>
      <c r="BO13" s="353"/>
      <c r="BP13" s="353"/>
      <c r="BQ13" s="353"/>
      <c r="BR13" s="353"/>
      <c r="BS13" s="353"/>
      <c r="BT13" s="353"/>
      <c r="BU13" s="353"/>
      <c r="BV13" s="353"/>
      <c r="BW13" s="353"/>
      <c r="BX13" s="353"/>
      <c r="BY13" s="353"/>
      <c r="BZ13" s="353"/>
      <c r="CA13" s="353"/>
      <c r="CB13" s="353"/>
      <c r="CC13" s="353"/>
      <c r="CD13" s="353"/>
      <c r="CE13" s="353"/>
      <c r="CF13" s="353"/>
      <c r="CG13" s="353"/>
      <c r="CH13" s="353"/>
      <c r="CI13" s="353"/>
      <c r="CJ13" s="353"/>
      <c r="CK13" s="353"/>
      <c r="CL13" s="353"/>
      <c r="CM13" s="353"/>
      <c r="CN13" s="353"/>
      <c r="CO13" s="353"/>
      <c r="CP13" s="353"/>
      <c r="CQ13" s="353"/>
      <c r="CR13" s="353"/>
      <c r="CS13" s="353"/>
      <c r="CT13" s="353"/>
      <c r="CU13" s="353"/>
      <c r="CV13" s="353"/>
      <c r="CW13" s="353"/>
      <c r="CX13" s="353"/>
      <c r="CY13" s="353"/>
      <c r="CZ13" s="353"/>
      <c r="DA13" s="353"/>
      <c r="DB13" s="353"/>
      <c r="DC13" s="353"/>
      <c r="DD13" s="353"/>
      <c r="DE13" s="353"/>
      <c r="DF13" s="353"/>
      <c r="DG13" s="353"/>
      <c r="DH13" s="353"/>
      <c r="DI13" s="353"/>
      <c r="DJ13" s="353"/>
      <c r="DK13" s="353"/>
      <c r="DL13" s="353"/>
      <c r="DM13" s="353"/>
      <c r="DN13" s="353"/>
      <c r="DO13" s="353"/>
      <c r="DP13" s="353"/>
      <c r="DQ13" s="353"/>
      <c r="DR13" s="353"/>
      <c r="DS13" s="353"/>
      <c r="DT13" s="353"/>
      <c r="DU13" s="353"/>
      <c r="DV13" s="353"/>
      <c r="DW13" s="353"/>
      <c r="DX13" s="353"/>
      <c r="DY13" s="353"/>
      <c r="DZ13" s="353"/>
      <c r="EA13" s="353"/>
      <c r="EB13" s="353"/>
      <c r="EC13" s="353"/>
    </row>
    <row r="14" spans="2:133" s="354" customFormat="1" ht="15.75">
      <c r="B14" s="359" t="s">
        <v>176</v>
      </c>
      <c r="C14" s="360"/>
      <c r="D14" s="686">
        <v>0.061</v>
      </c>
      <c r="E14" s="361" t="s">
        <v>107</v>
      </c>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3"/>
      <c r="AY14" s="353"/>
      <c r="AZ14" s="353"/>
      <c r="BA14" s="353"/>
      <c r="BB14" s="353"/>
      <c r="BC14" s="353"/>
      <c r="BD14" s="353"/>
      <c r="BE14" s="353"/>
      <c r="BF14" s="353"/>
      <c r="BG14" s="353"/>
      <c r="BH14" s="353"/>
      <c r="BI14" s="353"/>
      <c r="BJ14" s="353"/>
      <c r="BK14" s="353"/>
      <c r="BL14" s="353"/>
      <c r="BM14" s="353"/>
      <c r="BN14" s="353"/>
      <c r="BO14" s="353"/>
      <c r="BP14" s="353"/>
      <c r="BQ14" s="353"/>
      <c r="BR14" s="353"/>
      <c r="BS14" s="353"/>
      <c r="BT14" s="353"/>
      <c r="BU14" s="353"/>
      <c r="BV14" s="353"/>
      <c r="BW14" s="353"/>
      <c r="BX14" s="353"/>
      <c r="BY14" s="353"/>
      <c r="BZ14" s="353"/>
      <c r="CA14" s="353"/>
      <c r="CB14" s="353"/>
      <c r="CC14" s="353"/>
      <c r="CD14" s="353"/>
      <c r="CE14" s="353"/>
      <c r="CF14" s="353"/>
      <c r="CG14" s="353"/>
      <c r="CH14" s="353"/>
      <c r="CI14" s="353"/>
      <c r="CJ14" s="353"/>
      <c r="CK14" s="353"/>
      <c r="CL14" s="353"/>
      <c r="CM14" s="353"/>
      <c r="CN14" s="353"/>
      <c r="CO14" s="353"/>
      <c r="CP14" s="353"/>
      <c r="CQ14" s="353"/>
      <c r="CR14" s="353"/>
      <c r="CS14" s="353"/>
      <c r="CT14" s="353"/>
      <c r="CU14" s="353"/>
      <c r="CV14" s="353"/>
      <c r="CW14" s="353"/>
      <c r="CX14" s="353"/>
      <c r="CY14" s="353"/>
      <c r="CZ14" s="353"/>
      <c r="DA14" s="353"/>
      <c r="DB14" s="353"/>
      <c r="DC14" s="353"/>
      <c r="DD14" s="353"/>
      <c r="DE14" s="353"/>
      <c r="DF14" s="353"/>
      <c r="DG14" s="353"/>
      <c r="DH14" s="353"/>
      <c r="DI14" s="353"/>
      <c r="DJ14" s="353"/>
      <c r="DK14" s="353"/>
      <c r="DL14" s="353"/>
      <c r="DM14" s="353"/>
      <c r="DN14" s="353"/>
      <c r="DO14" s="353"/>
      <c r="DP14" s="353"/>
      <c r="DQ14" s="353"/>
      <c r="DR14" s="353"/>
      <c r="DS14" s="353"/>
      <c r="DT14" s="353"/>
      <c r="DU14" s="353"/>
      <c r="DV14" s="353"/>
      <c r="DW14" s="353"/>
      <c r="DX14" s="353"/>
      <c r="DY14" s="353"/>
      <c r="DZ14" s="353"/>
      <c r="EA14" s="353"/>
      <c r="EB14" s="353"/>
      <c r="EC14" s="353"/>
    </row>
    <row r="15" spans="2:133" s="354" customFormat="1" ht="16.5" thickBot="1">
      <c r="B15" s="362" t="s">
        <v>432</v>
      </c>
      <c r="C15" s="363"/>
      <c r="D15" s="690">
        <f>D86</f>
        <v>0.06066850001654194</v>
      </c>
      <c r="E15" s="364"/>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c r="AX15" s="353"/>
      <c r="AY15" s="353"/>
      <c r="AZ15" s="353"/>
      <c r="BA15" s="353"/>
      <c r="BB15" s="353"/>
      <c r="BC15" s="353"/>
      <c r="BD15" s="353"/>
      <c r="BE15" s="353"/>
      <c r="BF15" s="353"/>
      <c r="BG15" s="353"/>
      <c r="BH15" s="353"/>
      <c r="BI15" s="353"/>
      <c r="BJ15" s="353"/>
      <c r="BK15" s="353"/>
      <c r="BL15" s="353"/>
      <c r="BM15" s="353"/>
      <c r="BN15" s="353"/>
      <c r="BO15" s="353"/>
      <c r="BP15" s="353"/>
      <c r="BQ15" s="353"/>
      <c r="BR15" s="353"/>
      <c r="BS15" s="353"/>
      <c r="BT15" s="353"/>
      <c r="BU15" s="353"/>
      <c r="BV15" s="353"/>
      <c r="BW15" s="353"/>
      <c r="BX15" s="353"/>
      <c r="BY15" s="353"/>
      <c r="BZ15" s="353"/>
      <c r="CA15" s="353"/>
      <c r="CB15" s="353"/>
      <c r="CC15" s="353"/>
      <c r="CD15" s="353"/>
      <c r="CE15" s="353"/>
      <c r="CF15" s="353"/>
      <c r="CG15" s="353"/>
      <c r="CH15" s="353"/>
      <c r="CI15" s="353"/>
      <c r="CJ15" s="353"/>
      <c r="CK15" s="353"/>
      <c r="CL15" s="353"/>
      <c r="CM15" s="353"/>
      <c r="CN15" s="353"/>
      <c r="CO15" s="353"/>
      <c r="CP15" s="353"/>
      <c r="CQ15" s="353"/>
      <c r="CR15" s="353"/>
      <c r="CS15" s="353"/>
      <c r="CT15" s="353"/>
      <c r="CU15" s="353"/>
      <c r="CV15" s="353"/>
      <c r="CW15" s="353"/>
      <c r="CX15" s="353"/>
      <c r="CY15" s="353"/>
      <c r="CZ15" s="353"/>
      <c r="DA15" s="353"/>
      <c r="DB15" s="353"/>
      <c r="DC15" s="353"/>
      <c r="DD15" s="353"/>
      <c r="DE15" s="353"/>
      <c r="DF15" s="353"/>
      <c r="DG15" s="353"/>
      <c r="DH15" s="353"/>
      <c r="DI15" s="353"/>
      <c r="DJ15" s="353"/>
      <c r="DK15" s="353"/>
      <c r="DL15" s="353"/>
      <c r="DM15" s="353"/>
      <c r="DN15" s="353"/>
      <c r="DO15" s="353"/>
      <c r="DP15" s="353"/>
      <c r="DQ15" s="353"/>
      <c r="DR15" s="353"/>
      <c r="DS15" s="353"/>
      <c r="DT15" s="353"/>
      <c r="DU15" s="353"/>
      <c r="DV15" s="353"/>
      <c r="DW15" s="353"/>
      <c r="DX15" s="353"/>
      <c r="DY15" s="353"/>
      <c r="DZ15" s="353"/>
      <c r="EA15" s="353"/>
      <c r="EB15" s="353"/>
      <c r="EC15" s="353"/>
    </row>
    <row r="16" spans="2:133" s="354" customFormat="1" ht="18.75">
      <c r="B16" s="365"/>
      <c r="C16" s="353"/>
      <c r="D16" s="820"/>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3"/>
      <c r="AZ16" s="353"/>
      <c r="BA16" s="353"/>
      <c r="BB16" s="353"/>
      <c r="BC16" s="353"/>
      <c r="BD16" s="353"/>
      <c r="BE16" s="353"/>
      <c r="BF16" s="353"/>
      <c r="BG16" s="353"/>
      <c r="BH16" s="353"/>
      <c r="BI16" s="353"/>
      <c r="BJ16" s="353"/>
      <c r="BK16" s="353"/>
      <c r="BL16" s="353"/>
      <c r="BM16" s="353"/>
      <c r="BN16" s="353"/>
      <c r="BO16" s="353"/>
      <c r="BP16" s="353"/>
      <c r="BQ16" s="353"/>
      <c r="BR16" s="353"/>
      <c r="BS16" s="353"/>
      <c r="BT16" s="353"/>
      <c r="BU16" s="353"/>
      <c r="BV16" s="353"/>
      <c r="BW16" s="353"/>
      <c r="BX16" s="353"/>
      <c r="BY16" s="353"/>
      <c r="BZ16" s="353"/>
      <c r="CA16" s="353"/>
      <c r="CB16" s="353"/>
      <c r="CC16" s="353"/>
      <c r="CD16" s="353"/>
      <c r="CE16" s="353"/>
      <c r="CF16" s="353"/>
      <c r="CG16" s="353"/>
      <c r="CH16" s="353"/>
      <c r="CI16" s="353"/>
      <c r="CJ16" s="353"/>
      <c r="CK16" s="353"/>
      <c r="CL16" s="353"/>
      <c r="CM16" s="353"/>
      <c r="CN16" s="353"/>
      <c r="CO16" s="353"/>
      <c r="CP16" s="353"/>
      <c r="CQ16" s="353"/>
      <c r="CR16" s="353"/>
      <c r="CS16" s="353"/>
      <c r="CT16" s="353"/>
      <c r="CU16" s="353"/>
      <c r="CV16" s="353"/>
      <c r="CW16" s="353"/>
      <c r="CX16" s="353"/>
      <c r="CY16" s="353"/>
      <c r="CZ16" s="353"/>
      <c r="DA16" s="353"/>
      <c r="DB16" s="353"/>
      <c r="DC16" s="353"/>
      <c r="DD16" s="353"/>
      <c r="DE16" s="353"/>
      <c r="DF16" s="353"/>
      <c r="DG16" s="353"/>
      <c r="DH16" s="353"/>
      <c r="DI16" s="353"/>
      <c r="DJ16" s="353"/>
      <c r="DK16" s="353"/>
      <c r="DL16" s="353"/>
      <c r="DM16" s="353"/>
      <c r="DN16" s="353"/>
      <c r="DO16" s="353"/>
      <c r="DP16" s="353"/>
      <c r="DQ16" s="353"/>
      <c r="DR16" s="353"/>
      <c r="DS16" s="353"/>
      <c r="DT16" s="353"/>
      <c r="DU16" s="353"/>
      <c r="DV16" s="353"/>
      <c r="DW16" s="353"/>
      <c r="DX16" s="353"/>
      <c r="DY16" s="353"/>
      <c r="DZ16" s="353"/>
      <c r="EA16" s="353"/>
      <c r="EB16" s="353"/>
      <c r="EC16" s="353"/>
    </row>
    <row r="17" spans="2:133" s="354" customFormat="1" ht="18.75">
      <c r="B17" s="365" t="s">
        <v>360</v>
      </c>
      <c r="C17" s="353"/>
      <c r="D17" s="353"/>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BB17" s="353"/>
      <c r="BC17" s="353"/>
      <c r="BD17" s="353"/>
      <c r="BE17" s="353"/>
      <c r="BF17" s="353"/>
      <c r="BG17" s="353"/>
      <c r="BH17" s="353"/>
      <c r="BI17" s="353"/>
      <c r="BJ17" s="353"/>
      <c r="BK17" s="353"/>
      <c r="BL17" s="353"/>
      <c r="BM17" s="353"/>
      <c r="BN17" s="353"/>
      <c r="BO17" s="353"/>
      <c r="BP17" s="353"/>
      <c r="BQ17" s="353"/>
      <c r="BR17" s="353"/>
      <c r="BS17" s="353"/>
      <c r="BT17" s="353"/>
      <c r="BU17" s="353"/>
      <c r="BV17" s="353"/>
      <c r="BW17" s="353"/>
      <c r="BX17" s="353"/>
      <c r="BY17" s="353"/>
      <c r="BZ17" s="353"/>
      <c r="CA17" s="353"/>
      <c r="CB17" s="353"/>
      <c r="CC17" s="353"/>
      <c r="CD17" s="353"/>
      <c r="CE17" s="353"/>
      <c r="CF17" s="353"/>
      <c r="CG17" s="353"/>
      <c r="CH17" s="353"/>
      <c r="CI17" s="353"/>
      <c r="CJ17" s="353"/>
      <c r="CK17" s="353"/>
      <c r="CL17" s="353"/>
      <c r="CM17" s="353"/>
      <c r="CN17" s="353"/>
      <c r="CO17" s="353"/>
      <c r="CP17" s="353"/>
      <c r="CQ17" s="353"/>
      <c r="CR17" s="353"/>
      <c r="CS17" s="353"/>
      <c r="CT17" s="353"/>
      <c r="CU17" s="353"/>
      <c r="CV17" s="353"/>
      <c r="CW17" s="353"/>
      <c r="CX17" s="353"/>
      <c r="CY17" s="353"/>
      <c r="CZ17" s="353"/>
      <c r="DA17" s="353"/>
      <c r="DB17" s="353"/>
      <c r="DC17" s="353"/>
      <c r="DD17" s="353"/>
      <c r="DE17" s="353"/>
      <c r="DF17" s="353"/>
      <c r="DG17" s="353"/>
      <c r="DH17" s="353"/>
      <c r="DI17" s="353"/>
      <c r="DJ17" s="353"/>
      <c r="DK17" s="353"/>
      <c r="DL17" s="353"/>
      <c r="DM17" s="353"/>
      <c r="DN17" s="353"/>
      <c r="DO17" s="353"/>
      <c r="DP17" s="353"/>
      <c r="DQ17" s="353"/>
      <c r="DR17" s="353"/>
      <c r="DS17" s="353"/>
      <c r="DT17" s="353"/>
      <c r="DU17" s="353"/>
      <c r="DV17" s="353"/>
      <c r="DW17" s="353"/>
      <c r="DX17" s="353"/>
      <c r="DY17" s="353"/>
      <c r="DZ17" s="353"/>
      <c r="EA17" s="353"/>
      <c r="EB17" s="353"/>
      <c r="EC17" s="353"/>
    </row>
    <row r="18" spans="2:133" s="354" customFormat="1" ht="15.75">
      <c r="B18" s="355"/>
      <c r="C18" s="353"/>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53"/>
      <c r="BG18" s="353"/>
      <c r="BH18" s="353"/>
      <c r="BI18" s="353"/>
      <c r="BJ18" s="353"/>
      <c r="BK18" s="353"/>
      <c r="BL18" s="353"/>
      <c r="BM18" s="353"/>
      <c r="BN18" s="353"/>
      <c r="BO18" s="353"/>
      <c r="BP18" s="353"/>
      <c r="BQ18" s="353"/>
      <c r="BR18" s="353"/>
      <c r="BS18" s="353"/>
      <c r="BT18" s="353"/>
      <c r="BU18" s="353"/>
      <c r="BV18" s="353"/>
      <c r="BW18" s="353"/>
      <c r="BX18" s="353"/>
      <c r="BY18" s="353"/>
      <c r="BZ18" s="353"/>
      <c r="CA18" s="353"/>
      <c r="CB18" s="353"/>
      <c r="CC18" s="353"/>
      <c r="CD18" s="353"/>
      <c r="CE18" s="353"/>
      <c r="CF18" s="353"/>
      <c r="CG18" s="353"/>
      <c r="CH18" s="353"/>
      <c r="CI18" s="353"/>
      <c r="CJ18" s="353"/>
      <c r="CK18" s="353"/>
      <c r="CL18" s="353"/>
      <c r="CM18" s="353"/>
      <c r="CN18" s="353"/>
      <c r="CO18" s="353"/>
      <c r="CP18" s="353"/>
      <c r="CQ18" s="353"/>
      <c r="CR18" s="353"/>
      <c r="CS18" s="353"/>
      <c r="CT18" s="353"/>
      <c r="CU18" s="353"/>
      <c r="CV18" s="353"/>
      <c r="CW18" s="353"/>
      <c r="CX18" s="353"/>
      <c r="CY18" s="353"/>
      <c r="CZ18" s="353"/>
      <c r="DA18" s="353"/>
      <c r="DB18" s="353"/>
      <c r="DC18" s="353"/>
      <c r="DD18" s="353"/>
      <c r="DE18" s="353"/>
      <c r="DF18" s="353"/>
      <c r="DG18" s="353"/>
      <c r="DH18" s="353"/>
      <c r="DI18" s="353"/>
      <c r="DJ18" s="353"/>
      <c r="DK18" s="353"/>
      <c r="DL18" s="353"/>
      <c r="DM18" s="353"/>
      <c r="DN18" s="353"/>
      <c r="DO18" s="353"/>
      <c r="DP18" s="353"/>
      <c r="DQ18" s="353"/>
      <c r="DR18" s="353"/>
      <c r="DS18" s="353"/>
      <c r="DT18" s="353"/>
      <c r="DU18" s="353"/>
      <c r="DV18" s="353"/>
      <c r="DW18" s="353"/>
      <c r="DX18" s="353"/>
      <c r="DY18" s="353"/>
      <c r="DZ18" s="353"/>
      <c r="EA18" s="353"/>
      <c r="EB18" s="353"/>
      <c r="EC18" s="353"/>
    </row>
    <row r="19" spans="2:133" s="354" customFormat="1" ht="15.75">
      <c r="B19" s="355"/>
      <c r="C19" s="806" t="s">
        <v>463</v>
      </c>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3"/>
      <c r="BR19" s="353"/>
      <c r="BS19" s="353"/>
      <c r="BT19" s="353"/>
      <c r="BU19" s="353"/>
      <c r="BV19" s="353"/>
      <c r="BW19" s="353"/>
      <c r="BX19" s="353"/>
      <c r="BY19" s="353"/>
      <c r="BZ19" s="353"/>
      <c r="CA19" s="353"/>
      <c r="CB19" s="353"/>
      <c r="CC19" s="353"/>
      <c r="CD19" s="353"/>
      <c r="CE19" s="353"/>
      <c r="CF19" s="353"/>
      <c r="CG19" s="353"/>
      <c r="CH19" s="353"/>
      <c r="CI19" s="353"/>
      <c r="CJ19" s="353"/>
      <c r="CK19" s="353"/>
      <c r="CL19" s="353"/>
      <c r="CM19" s="353"/>
      <c r="CN19" s="353"/>
      <c r="CO19" s="353"/>
      <c r="CP19" s="353"/>
      <c r="CQ19" s="353"/>
      <c r="CR19" s="353"/>
      <c r="CS19" s="353"/>
      <c r="CT19" s="353"/>
      <c r="CU19" s="353"/>
      <c r="CV19" s="353"/>
      <c r="CW19" s="353"/>
      <c r="CX19" s="353"/>
      <c r="CY19" s="353"/>
      <c r="CZ19" s="353"/>
      <c r="DA19" s="353"/>
      <c r="DB19" s="353"/>
      <c r="DC19" s="353"/>
      <c r="DD19" s="353"/>
      <c r="DE19" s="353"/>
      <c r="DF19" s="353"/>
      <c r="DG19" s="353"/>
      <c r="DH19" s="353"/>
      <c r="DI19" s="353"/>
      <c r="DJ19" s="353"/>
      <c r="DK19" s="353"/>
      <c r="DL19" s="353"/>
      <c r="DM19" s="353"/>
      <c r="DN19" s="353"/>
      <c r="DO19" s="353"/>
      <c r="DP19" s="353"/>
      <c r="DQ19" s="353"/>
      <c r="DR19" s="353"/>
      <c r="DS19" s="353"/>
      <c r="DT19" s="353"/>
      <c r="DU19" s="353"/>
      <c r="DV19" s="353"/>
      <c r="DW19" s="353"/>
      <c r="DX19" s="353"/>
      <c r="DY19" s="353"/>
      <c r="DZ19" s="353"/>
      <c r="EA19" s="353"/>
      <c r="EB19" s="353"/>
      <c r="EC19" s="353"/>
    </row>
    <row r="20" spans="2:133" s="354" customFormat="1" ht="15.75">
      <c r="B20" s="355"/>
      <c r="C20" s="806" t="s">
        <v>464</v>
      </c>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c r="BW20" s="353"/>
      <c r="BX20" s="353"/>
      <c r="BY20" s="353"/>
      <c r="BZ20" s="353"/>
      <c r="CA20" s="353"/>
      <c r="CB20" s="353"/>
      <c r="CC20" s="353"/>
      <c r="CD20" s="353"/>
      <c r="CE20" s="353"/>
      <c r="CF20" s="353"/>
      <c r="CG20" s="353"/>
      <c r="CH20" s="353"/>
      <c r="CI20" s="353"/>
      <c r="CJ20" s="353"/>
      <c r="CK20" s="353"/>
      <c r="CL20" s="353"/>
      <c r="CM20" s="353"/>
      <c r="CN20" s="353"/>
      <c r="CO20" s="353"/>
      <c r="CP20" s="353"/>
      <c r="CQ20" s="353"/>
      <c r="CR20" s="353"/>
      <c r="CS20" s="353"/>
      <c r="CT20" s="353"/>
      <c r="CU20" s="353"/>
      <c r="CV20" s="353"/>
      <c r="CW20" s="353"/>
      <c r="CX20" s="353"/>
      <c r="CY20" s="353"/>
      <c r="CZ20" s="353"/>
      <c r="DA20" s="353"/>
      <c r="DB20" s="353"/>
      <c r="DC20" s="353"/>
      <c r="DD20" s="353"/>
      <c r="DE20" s="353"/>
      <c r="DF20" s="353"/>
      <c r="DG20" s="353"/>
      <c r="DH20" s="353"/>
      <c r="DI20" s="353"/>
      <c r="DJ20" s="353"/>
      <c r="DK20" s="353"/>
      <c r="DL20" s="353"/>
      <c r="DM20" s="353"/>
      <c r="DN20" s="353"/>
      <c r="DO20" s="353"/>
      <c r="DP20" s="353"/>
      <c r="DQ20" s="353"/>
      <c r="DR20" s="353"/>
      <c r="DS20" s="353"/>
      <c r="DT20" s="353"/>
      <c r="DU20" s="353"/>
      <c r="DV20" s="353"/>
      <c r="DW20" s="353"/>
      <c r="DX20" s="353"/>
      <c r="DY20" s="353"/>
      <c r="DZ20" s="353"/>
      <c r="EA20" s="353"/>
      <c r="EB20" s="353"/>
      <c r="EC20" s="353"/>
    </row>
    <row r="21" spans="2:133" s="354" customFormat="1" ht="15.75">
      <c r="B21" s="355"/>
      <c r="C21" s="806" t="s">
        <v>465</v>
      </c>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3"/>
      <c r="BF21" s="353"/>
      <c r="BG21" s="353"/>
      <c r="BH21" s="353"/>
      <c r="BI21" s="353"/>
      <c r="BJ21" s="353"/>
      <c r="BK21" s="353"/>
      <c r="BL21" s="353"/>
      <c r="BM21" s="353"/>
      <c r="BN21" s="353"/>
      <c r="BO21" s="353"/>
      <c r="BP21" s="353"/>
      <c r="BQ21" s="353"/>
      <c r="BR21" s="353"/>
      <c r="BS21" s="353"/>
      <c r="BT21" s="353"/>
      <c r="BU21" s="353"/>
      <c r="BV21" s="353"/>
      <c r="BW21" s="353"/>
      <c r="BX21" s="353"/>
      <c r="BY21" s="353"/>
      <c r="BZ21" s="353"/>
      <c r="CA21" s="353"/>
      <c r="CB21" s="353"/>
      <c r="CC21" s="353"/>
      <c r="CD21" s="353"/>
      <c r="CE21" s="353"/>
      <c r="CF21" s="353"/>
      <c r="CG21" s="353"/>
      <c r="CH21" s="353"/>
      <c r="CI21" s="353"/>
      <c r="CJ21" s="353"/>
      <c r="CK21" s="353"/>
      <c r="CL21" s="353"/>
      <c r="CM21" s="353"/>
      <c r="CN21" s="353"/>
      <c r="CO21" s="353"/>
      <c r="CP21" s="353"/>
      <c r="CQ21" s="353"/>
      <c r="CR21" s="353"/>
      <c r="CS21" s="353"/>
      <c r="CT21" s="353"/>
      <c r="CU21" s="353"/>
      <c r="CV21" s="353"/>
      <c r="CW21" s="353"/>
      <c r="CX21" s="353"/>
      <c r="CY21" s="353"/>
      <c r="CZ21" s="353"/>
      <c r="DA21" s="353"/>
      <c r="DB21" s="353"/>
      <c r="DC21" s="353"/>
      <c r="DD21" s="353"/>
      <c r="DE21" s="353"/>
      <c r="DF21" s="353"/>
      <c r="DG21" s="353"/>
      <c r="DH21" s="353"/>
      <c r="DI21" s="353"/>
      <c r="DJ21" s="353"/>
      <c r="DK21" s="353"/>
      <c r="DL21" s="353"/>
      <c r="DM21" s="353"/>
      <c r="DN21" s="353"/>
      <c r="DO21" s="353"/>
      <c r="DP21" s="353"/>
      <c r="DQ21" s="353"/>
      <c r="DR21" s="353"/>
      <c r="DS21" s="353"/>
      <c r="DT21" s="353"/>
      <c r="DU21" s="353"/>
      <c r="DV21" s="353"/>
      <c r="DW21" s="353"/>
      <c r="DX21" s="353"/>
      <c r="DY21" s="353"/>
      <c r="DZ21" s="353"/>
      <c r="EA21" s="353"/>
      <c r="EB21" s="353"/>
      <c r="EC21" s="353"/>
    </row>
    <row r="22" spans="2:133" s="354" customFormat="1" ht="15.75">
      <c r="B22" s="353"/>
      <c r="C22" s="804" t="s">
        <v>361</v>
      </c>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3"/>
      <c r="BF22" s="353"/>
      <c r="BG22" s="353"/>
      <c r="BH22" s="353"/>
      <c r="BI22" s="353"/>
      <c r="BJ22" s="353"/>
      <c r="BK22" s="353"/>
      <c r="BL22" s="353"/>
      <c r="BM22" s="353"/>
      <c r="BN22" s="353"/>
      <c r="BO22" s="353"/>
      <c r="BP22" s="353"/>
      <c r="BQ22" s="353"/>
      <c r="BR22" s="353"/>
      <c r="BS22" s="353"/>
      <c r="BT22" s="353"/>
      <c r="BU22" s="353"/>
      <c r="BV22" s="353"/>
      <c r="BW22" s="353"/>
      <c r="BX22" s="353"/>
      <c r="BY22" s="353"/>
      <c r="BZ22" s="353"/>
      <c r="CA22" s="353"/>
      <c r="CB22" s="353"/>
      <c r="CC22" s="353"/>
      <c r="CD22" s="353"/>
      <c r="CE22" s="353"/>
      <c r="CF22" s="353"/>
      <c r="CG22" s="353"/>
      <c r="CH22" s="353"/>
      <c r="CI22" s="353"/>
      <c r="CJ22" s="353"/>
      <c r="CK22" s="353"/>
      <c r="CL22" s="353"/>
      <c r="CM22" s="353"/>
      <c r="CN22" s="353"/>
      <c r="CO22" s="353"/>
      <c r="CP22" s="353"/>
      <c r="CQ22" s="353"/>
      <c r="CR22" s="353"/>
      <c r="CS22" s="353"/>
      <c r="CT22" s="353"/>
      <c r="CU22" s="353"/>
      <c r="CV22" s="353"/>
      <c r="CW22" s="353"/>
      <c r="CX22" s="353"/>
      <c r="CY22" s="353"/>
      <c r="CZ22" s="353"/>
      <c r="DA22" s="353"/>
      <c r="DB22" s="353"/>
      <c r="DC22" s="353"/>
      <c r="DD22" s="353"/>
      <c r="DE22" s="353"/>
      <c r="DF22" s="353"/>
      <c r="DG22" s="353"/>
      <c r="DH22" s="353"/>
      <c r="DI22" s="353"/>
      <c r="DJ22" s="353"/>
      <c r="DK22" s="353"/>
      <c r="DL22" s="353"/>
      <c r="DM22" s="353"/>
      <c r="DN22" s="353"/>
      <c r="DO22" s="353"/>
      <c r="DP22" s="353"/>
      <c r="DQ22" s="353"/>
      <c r="DR22" s="353"/>
      <c r="DS22" s="353"/>
      <c r="DT22" s="353"/>
      <c r="DU22" s="353"/>
      <c r="DV22" s="353"/>
      <c r="DW22" s="353"/>
      <c r="DX22" s="353"/>
      <c r="DY22" s="353"/>
      <c r="DZ22" s="353"/>
      <c r="EA22" s="353"/>
      <c r="EB22" s="353"/>
      <c r="EC22" s="353"/>
    </row>
    <row r="23" spans="2:133" s="354" customFormat="1" ht="15.75">
      <c r="B23" s="353"/>
      <c r="C23" s="804" t="s">
        <v>362</v>
      </c>
      <c r="D23" s="353"/>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3"/>
      <c r="BC23" s="353"/>
      <c r="BD23" s="353"/>
      <c r="BE23" s="353"/>
      <c r="BF23" s="353"/>
      <c r="BG23" s="353"/>
      <c r="BH23" s="353"/>
      <c r="BI23" s="353"/>
      <c r="BJ23" s="353"/>
      <c r="BK23" s="353"/>
      <c r="BL23" s="353"/>
      <c r="BM23" s="353"/>
      <c r="BN23" s="353"/>
      <c r="BO23" s="353"/>
      <c r="BP23" s="353"/>
      <c r="BQ23" s="353"/>
      <c r="BR23" s="353"/>
      <c r="BS23" s="353"/>
      <c r="BT23" s="353"/>
      <c r="BU23" s="353"/>
      <c r="BV23" s="353"/>
      <c r="BW23" s="353"/>
      <c r="BX23" s="353"/>
      <c r="BY23" s="353"/>
      <c r="BZ23" s="353"/>
      <c r="CA23" s="353"/>
      <c r="CB23" s="353"/>
      <c r="CC23" s="353"/>
      <c r="CD23" s="353"/>
      <c r="CE23" s="353"/>
      <c r="CF23" s="353"/>
      <c r="CG23" s="353"/>
      <c r="CH23" s="353"/>
      <c r="CI23" s="353"/>
      <c r="CJ23" s="353"/>
      <c r="CK23" s="353"/>
      <c r="CL23" s="353"/>
      <c r="CM23" s="353"/>
      <c r="CN23" s="353"/>
      <c r="CO23" s="353"/>
      <c r="CP23" s="353"/>
      <c r="CQ23" s="353"/>
      <c r="CR23" s="353"/>
      <c r="CS23" s="353"/>
      <c r="CT23" s="353"/>
      <c r="CU23" s="353"/>
      <c r="CV23" s="353"/>
      <c r="CW23" s="353"/>
      <c r="CX23" s="353"/>
      <c r="CY23" s="353"/>
      <c r="CZ23" s="353"/>
      <c r="DA23" s="353"/>
      <c r="DB23" s="353"/>
      <c r="DC23" s="353"/>
      <c r="DD23" s="353"/>
      <c r="DE23" s="353"/>
      <c r="DF23" s="353"/>
      <c r="DG23" s="353"/>
      <c r="DH23" s="353"/>
      <c r="DI23" s="353"/>
      <c r="DJ23" s="353"/>
      <c r="DK23" s="353"/>
      <c r="DL23" s="353"/>
      <c r="DM23" s="353"/>
      <c r="DN23" s="353"/>
      <c r="DO23" s="353"/>
      <c r="DP23" s="353"/>
      <c r="DQ23" s="353"/>
      <c r="DR23" s="353"/>
      <c r="DS23" s="353"/>
      <c r="DT23" s="353"/>
      <c r="DU23" s="353"/>
      <c r="DV23" s="353"/>
      <c r="DW23" s="353"/>
      <c r="DX23" s="353"/>
      <c r="DY23" s="353"/>
      <c r="DZ23" s="353"/>
      <c r="EA23" s="353"/>
      <c r="EB23" s="353"/>
      <c r="EC23" s="353"/>
    </row>
    <row r="24" spans="2:133" s="354" customFormat="1" ht="15.75">
      <c r="B24" s="353"/>
      <c r="F24" s="353"/>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c r="BB24" s="353"/>
      <c r="BC24" s="353"/>
      <c r="BD24" s="353"/>
      <c r="BE24" s="353"/>
      <c r="BF24" s="353"/>
      <c r="BG24" s="353"/>
      <c r="BH24" s="353"/>
      <c r="BI24" s="353"/>
      <c r="BJ24" s="353"/>
      <c r="BK24" s="353"/>
      <c r="BL24" s="353"/>
      <c r="BM24" s="353"/>
      <c r="BN24" s="353"/>
      <c r="BO24" s="353"/>
      <c r="BP24" s="353"/>
      <c r="BQ24" s="353"/>
      <c r="BR24" s="353"/>
      <c r="BS24" s="353"/>
      <c r="BT24" s="353"/>
      <c r="BU24" s="353"/>
      <c r="BV24" s="353"/>
      <c r="BW24" s="353"/>
      <c r="BX24" s="353"/>
      <c r="BY24" s="353"/>
      <c r="BZ24" s="353"/>
      <c r="CA24" s="353"/>
      <c r="CB24" s="353"/>
      <c r="CC24" s="353"/>
      <c r="CD24" s="353"/>
      <c r="CE24" s="353"/>
      <c r="CF24" s="353"/>
      <c r="CG24" s="353"/>
      <c r="CH24" s="353"/>
      <c r="CI24" s="353"/>
      <c r="CJ24" s="353"/>
      <c r="CK24" s="353"/>
      <c r="CL24" s="353"/>
      <c r="CM24" s="353"/>
      <c r="CN24" s="353"/>
      <c r="CO24" s="353"/>
      <c r="CP24" s="353"/>
      <c r="CQ24" s="353"/>
      <c r="CR24" s="353"/>
      <c r="CS24" s="353"/>
      <c r="CT24" s="353"/>
      <c r="CU24" s="353"/>
      <c r="CV24" s="353"/>
      <c r="CW24" s="353"/>
      <c r="CX24" s="353"/>
      <c r="CY24" s="353"/>
      <c r="CZ24" s="353"/>
      <c r="DA24" s="353"/>
      <c r="DB24" s="353"/>
      <c r="DC24" s="353"/>
      <c r="DD24" s="353"/>
      <c r="DE24" s="353"/>
      <c r="DF24" s="353"/>
      <c r="DG24" s="353"/>
      <c r="DH24" s="353"/>
      <c r="DI24" s="353"/>
      <c r="DJ24" s="353"/>
      <c r="DK24" s="353"/>
      <c r="DL24" s="353"/>
      <c r="DM24" s="353"/>
      <c r="DN24" s="353"/>
      <c r="DO24" s="353"/>
      <c r="DP24" s="353"/>
      <c r="DQ24" s="353"/>
      <c r="DR24" s="353"/>
      <c r="DS24" s="353"/>
      <c r="DT24" s="353"/>
      <c r="DU24" s="353"/>
      <c r="DV24" s="353"/>
      <c r="DW24" s="353"/>
      <c r="DX24" s="353"/>
      <c r="DY24" s="353"/>
      <c r="DZ24" s="353"/>
      <c r="EA24" s="353"/>
      <c r="EB24" s="353"/>
      <c r="EC24" s="353"/>
    </row>
    <row r="25" spans="2:133" s="354" customFormat="1" ht="81" customHeight="1">
      <c r="B25" s="671" t="s">
        <v>366</v>
      </c>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353"/>
      <c r="BA25" s="353"/>
      <c r="BB25" s="353"/>
      <c r="BC25" s="353"/>
      <c r="BD25" s="353"/>
      <c r="BE25" s="353"/>
      <c r="BF25" s="353"/>
      <c r="BG25" s="353"/>
      <c r="BH25" s="353"/>
      <c r="BI25" s="353"/>
      <c r="BJ25" s="353"/>
      <c r="BK25" s="353"/>
      <c r="BL25" s="353"/>
      <c r="BM25" s="353"/>
      <c r="BN25" s="353"/>
      <c r="BO25" s="353"/>
      <c r="BP25" s="353"/>
      <c r="BQ25" s="353"/>
      <c r="BR25" s="353"/>
      <c r="BS25" s="353"/>
      <c r="BT25" s="353"/>
      <c r="BU25" s="353"/>
      <c r="BV25" s="353"/>
      <c r="BW25" s="353"/>
      <c r="BX25" s="353"/>
      <c r="BY25" s="353"/>
      <c r="BZ25" s="353"/>
      <c r="CA25" s="353"/>
      <c r="CB25" s="353"/>
      <c r="CC25" s="353"/>
      <c r="CD25" s="353"/>
      <c r="CE25" s="353"/>
      <c r="CF25" s="353"/>
      <c r="CG25" s="353"/>
      <c r="CH25" s="353"/>
      <c r="CI25" s="353"/>
      <c r="CJ25" s="353"/>
      <c r="CK25" s="353"/>
      <c r="CL25" s="353"/>
      <c r="CM25" s="353"/>
      <c r="CN25" s="353"/>
      <c r="CO25" s="353"/>
      <c r="CP25" s="353"/>
      <c r="CQ25" s="353"/>
      <c r="CR25" s="353"/>
      <c r="CS25" s="353"/>
      <c r="CT25" s="353"/>
      <c r="CU25" s="353"/>
      <c r="CV25" s="353"/>
      <c r="CW25" s="353"/>
      <c r="CX25" s="353"/>
      <c r="CY25" s="353"/>
      <c r="CZ25" s="353"/>
      <c r="DA25" s="353"/>
      <c r="DB25" s="353"/>
      <c r="DC25" s="353"/>
      <c r="DD25" s="353"/>
      <c r="DE25" s="353"/>
      <c r="DF25" s="353"/>
      <c r="DG25" s="353"/>
      <c r="DH25" s="353"/>
      <c r="DI25" s="353"/>
      <c r="DJ25" s="353"/>
      <c r="DK25" s="353"/>
      <c r="DL25" s="353"/>
      <c r="DM25" s="353"/>
      <c r="DN25" s="353"/>
      <c r="DO25" s="353"/>
      <c r="DP25" s="353"/>
      <c r="DQ25" s="353"/>
      <c r="DR25" s="353"/>
      <c r="DS25" s="353"/>
      <c r="DT25" s="353"/>
      <c r="DU25" s="353"/>
      <c r="DV25" s="353"/>
      <c r="DW25" s="353"/>
      <c r="DX25" s="353"/>
      <c r="DY25" s="353"/>
      <c r="DZ25" s="353"/>
      <c r="EA25" s="353"/>
      <c r="EB25" s="353"/>
      <c r="EC25" s="353"/>
    </row>
    <row r="27" spans="2:133" s="354" customFormat="1" ht="15.75">
      <c r="B27" s="674" t="s">
        <v>364</v>
      </c>
      <c r="C27" s="673"/>
      <c r="D27" s="67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353"/>
      <c r="BL27" s="353"/>
      <c r="BM27" s="353"/>
      <c r="BN27" s="353"/>
      <c r="BO27" s="353"/>
      <c r="BP27" s="353"/>
      <c r="BQ27" s="353"/>
      <c r="BR27" s="353"/>
      <c r="BS27" s="353"/>
      <c r="BT27" s="353"/>
      <c r="BU27" s="353"/>
      <c r="BV27" s="353"/>
      <c r="BW27" s="353"/>
      <c r="BX27" s="353"/>
      <c r="BY27" s="353"/>
      <c r="BZ27" s="353"/>
      <c r="CA27" s="353"/>
      <c r="CB27" s="353"/>
      <c r="CC27" s="353"/>
      <c r="CD27" s="353"/>
      <c r="CE27" s="353"/>
      <c r="CF27" s="353"/>
      <c r="CG27" s="353"/>
      <c r="CH27" s="353"/>
      <c r="CI27" s="353"/>
      <c r="CJ27" s="353"/>
      <c r="CK27" s="353"/>
      <c r="CL27" s="353"/>
      <c r="CM27" s="353"/>
      <c r="CN27" s="353"/>
      <c r="CO27" s="353"/>
      <c r="CP27" s="353"/>
      <c r="CQ27" s="353"/>
      <c r="CR27" s="353"/>
      <c r="CS27" s="353"/>
      <c r="CT27" s="353"/>
      <c r="CU27" s="353"/>
      <c r="CV27" s="353"/>
      <c r="CW27" s="353"/>
      <c r="CX27" s="353"/>
      <c r="CY27" s="353"/>
      <c r="CZ27" s="353"/>
      <c r="DA27" s="353"/>
      <c r="DB27" s="353"/>
      <c r="DC27" s="353"/>
      <c r="DD27" s="353"/>
      <c r="DE27" s="353"/>
      <c r="DF27" s="353"/>
      <c r="DG27" s="353"/>
      <c r="DH27" s="353"/>
      <c r="DI27" s="353"/>
      <c r="DJ27" s="353"/>
      <c r="DK27" s="353"/>
      <c r="DL27" s="353"/>
      <c r="DM27" s="353"/>
      <c r="DN27" s="353"/>
      <c r="DO27" s="353"/>
      <c r="DP27" s="353"/>
      <c r="DQ27" s="353"/>
      <c r="DR27" s="353"/>
      <c r="DS27" s="353"/>
      <c r="DT27" s="353"/>
      <c r="DU27" s="353"/>
      <c r="DV27" s="353"/>
      <c r="DW27" s="353"/>
      <c r="DX27" s="353"/>
      <c r="DY27" s="353"/>
      <c r="DZ27" s="353"/>
      <c r="EA27" s="353"/>
      <c r="EB27" s="353"/>
      <c r="EC27" s="353"/>
    </row>
    <row r="28" spans="2:133" s="354" customFormat="1" ht="15.75">
      <c r="B28" s="672" t="s">
        <v>363</v>
      </c>
      <c r="C28" s="673">
        <v>6</v>
      </c>
      <c r="D28" s="673" t="s">
        <v>23</v>
      </c>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c r="BJ28" s="353"/>
      <c r="BK28" s="353"/>
      <c r="BL28" s="353"/>
      <c r="BM28" s="353"/>
      <c r="BN28" s="353"/>
      <c r="BO28" s="353"/>
      <c r="BP28" s="353"/>
      <c r="BQ28" s="353"/>
      <c r="BR28" s="353"/>
      <c r="BS28" s="353"/>
      <c r="BT28" s="353"/>
      <c r="BU28" s="353"/>
      <c r="BV28" s="353"/>
      <c r="BW28" s="353"/>
      <c r="BX28" s="353"/>
      <c r="BY28" s="353"/>
      <c r="BZ28" s="353"/>
      <c r="CA28" s="353"/>
      <c r="CB28" s="353"/>
      <c r="CC28" s="353"/>
      <c r="CD28" s="353"/>
      <c r="CE28" s="353"/>
      <c r="CF28" s="353"/>
      <c r="CG28" s="353"/>
      <c r="CH28" s="353"/>
      <c r="CI28" s="353"/>
      <c r="CJ28" s="353"/>
      <c r="CK28" s="353"/>
      <c r="CL28" s="353"/>
      <c r="CM28" s="353"/>
      <c r="CN28" s="353"/>
      <c r="CO28" s="353"/>
      <c r="CP28" s="353"/>
      <c r="CQ28" s="353"/>
      <c r="CR28" s="353"/>
      <c r="CS28" s="353"/>
      <c r="CT28" s="353"/>
      <c r="CU28" s="353"/>
      <c r="CV28" s="353"/>
      <c r="CW28" s="353"/>
      <c r="CX28" s="353"/>
      <c r="CY28" s="353"/>
      <c r="CZ28" s="353"/>
      <c r="DA28" s="353"/>
      <c r="DB28" s="353"/>
      <c r="DC28" s="353"/>
      <c r="DD28" s="353"/>
      <c r="DE28" s="353"/>
      <c r="DF28" s="353"/>
      <c r="DG28" s="353"/>
      <c r="DH28" s="353"/>
      <c r="DI28" s="353"/>
      <c r="DJ28" s="353"/>
      <c r="DK28" s="353"/>
      <c r="DL28" s="353"/>
      <c r="DM28" s="353"/>
      <c r="DN28" s="353"/>
      <c r="DO28" s="353"/>
      <c r="DP28" s="353"/>
      <c r="DQ28" s="353"/>
      <c r="DR28" s="353"/>
      <c r="DS28" s="353"/>
      <c r="DT28" s="353"/>
      <c r="DU28" s="353"/>
      <c r="DV28" s="353"/>
      <c r="DW28" s="353"/>
      <c r="DX28" s="353"/>
      <c r="DY28" s="353"/>
      <c r="DZ28" s="353"/>
      <c r="EA28" s="353"/>
      <c r="EB28" s="353"/>
      <c r="EC28" s="353"/>
    </row>
    <row r="29" spans="2:133" s="354" customFormat="1" ht="15.75">
      <c r="B29" s="671"/>
      <c r="C29" s="804" t="s">
        <v>368</v>
      </c>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353"/>
      <c r="BR29" s="353"/>
      <c r="BS29" s="353"/>
      <c r="BT29" s="353"/>
      <c r="BU29" s="353"/>
      <c r="BV29" s="353"/>
      <c r="BW29" s="353"/>
      <c r="BX29" s="353"/>
      <c r="BY29" s="353"/>
      <c r="BZ29" s="353"/>
      <c r="CA29" s="353"/>
      <c r="CB29" s="353"/>
      <c r="CC29" s="353"/>
      <c r="CD29" s="353"/>
      <c r="CE29" s="353"/>
      <c r="CF29" s="353"/>
      <c r="CG29" s="353"/>
      <c r="CH29" s="353"/>
      <c r="CI29" s="353"/>
      <c r="CJ29" s="353"/>
      <c r="CK29" s="353"/>
      <c r="CL29" s="353"/>
      <c r="CM29" s="353"/>
      <c r="CN29" s="353"/>
      <c r="CO29" s="353"/>
      <c r="CP29" s="353"/>
      <c r="CQ29" s="353"/>
      <c r="CR29" s="353"/>
      <c r="CS29" s="353"/>
      <c r="CT29" s="353"/>
      <c r="CU29" s="353"/>
      <c r="CV29" s="353"/>
      <c r="CW29" s="353"/>
      <c r="CX29" s="353"/>
      <c r="CY29" s="353"/>
      <c r="CZ29" s="353"/>
      <c r="DA29" s="353"/>
      <c r="DB29" s="353"/>
      <c r="DC29" s="353"/>
      <c r="DD29" s="353"/>
      <c r="DE29" s="353"/>
      <c r="DF29" s="353"/>
      <c r="DG29" s="353"/>
      <c r="DH29" s="353"/>
      <c r="DI29" s="353"/>
      <c r="DJ29" s="353"/>
      <c r="DK29" s="353"/>
      <c r="DL29" s="353"/>
      <c r="DM29" s="353"/>
      <c r="DN29" s="353"/>
      <c r="DO29" s="353"/>
      <c r="DP29" s="353"/>
      <c r="DQ29" s="353"/>
      <c r="DR29" s="353"/>
      <c r="DS29" s="353"/>
      <c r="DT29" s="353"/>
      <c r="DU29" s="353"/>
      <c r="DV29" s="353"/>
      <c r="DW29" s="353"/>
      <c r="DX29" s="353"/>
      <c r="DY29" s="353"/>
      <c r="DZ29" s="353"/>
      <c r="EA29" s="353"/>
      <c r="EB29" s="353"/>
      <c r="EC29" s="353"/>
    </row>
    <row r="30" spans="2:133" s="354" customFormat="1" ht="15.75">
      <c r="B30" s="671"/>
      <c r="C30" s="804" t="s">
        <v>109</v>
      </c>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3"/>
      <c r="BR30" s="353"/>
      <c r="BS30" s="353"/>
      <c r="BT30" s="353"/>
      <c r="BU30" s="353"/>
      <c r="BV30" s="353"/>
      <c r="BW30" s="353"/>
      <c r="BX30" s="353"/>
      <c r="BY30" s="353"/>
      <c r="BZ30" s="353"/>
      <c r="CA30" s="353"/>
      <c r="CB30" s="353"/>
      <c r="CC30" s="353"/>
      <c r="CD30" s="353"/>
      <c r="CE30" s="353"/>
      <c r="CF30" s="353"/>
      <c r="CG30" s="353"/>
      <c r="CH30" s="353"/>
      <c r="CI30" s="353"/>
      <c r="CJ30" s="353"/>
      <c r="CK30" s="353"/>
      <c r="CL30" s="353"/>
      <c r="CM30" s="353"/>
      <c r="CN30" s="353"/>
      <c r="CO30" s="353"/>
      <c r="CP30" s="353"/>
      <c r="CQ30" s="353"/>
      <c r="CR30" s="353"/>
      <c r="CS30" s="353"/>
      <c r="CT30" s="353"/>
      <c r="CU30" s="353"/>
      <c r="CV30" s="353"/>
      <c r="CW30" s="353"/>
      <c r="CX30" s="353"/>
      <c r="CY30" s="353"/>
      <c r="CZ30" s="353"/>
      <c r="DA30" s="353"/>
      <c r="DB30" s="353"/>
      <c r="DC30" s="353"/>
      <c r="DD30" s="353"/>
      <c r="DE30" s="353"/>
      <c r="DF30" s="353"/>
      <c r="DG30" s="353"/>
      <c r="DH30" s="353"/>
      <c r="DI30" s="353"/>
      <c r="DJ30" s="353"/>
      <c r="DK30" s="353"/>
      <c r="DL30" s="353"/>
      <c r="DM30" s="353"/>
      <c r="DN30" s="353"/>
      <c r="DO30" s="353"/>
      <c r="DP30" s="353"/>
      <c r="DQ30" s="353"/>
      <c r="DR30" s="353"/>
      <c r="DS30" s="353"/>
      <c r="DT30" s="353"/>
      <c r="DU30" s="353"/>
      <c r="DV30" s="353"/>
      <c r="DW30" s="353"/>
      <c r="DX30" s="353"/>
      <c r="DY30" s="353"/>
      <c r="DZ30" s="353"/>
      <c r="EA30" s="353"/>
      <c r="EB30" s="353"/>
      <c r="EC30" s="353"/>
    </row>
    <row r="31" spans="2:133" s="354" customFormat="1" ht="15.75">
      <c r="B31" s="671"/>
      <c r="C31" s="804" t="s">
        <v>369</v>
      </c>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3"/>
      <c r="AN31" s="353"/>
      <c r="AO31" s="353"/>
      <c r="AP31" s="353"/>
      <c r="AQ31" s="353"/>
      <c r="AR31" s="353"/>
      <c r="AS31" s="353"/>
      <c r="AT31" s="353"/>
      <c r="AU31" s="353"/>
      <c r="AV31" s="353"/>
      <c r="AW31" s="353"/>
      <c r="AX31" s="353"/>
      <c r="AY31" s="353"/>
      <c r="AZ31" s="353"/>
      <c r="BA31" s="353"/>
      <c r="BB31" s="353"/>
      <c r="BC31" s="353"/>
      <c r="BD31" s="353"/>
      <c r="BE31" s="353"/>
      <c r="BF31" s="353"/>
      <c r="BG31" s="353"/>
      <c r="BH31" s="353"/>
      <c r="BI31" s="353"/>
      <c r="BJ31" s="353"/>
      <c r="BK31" s="353"/>
      <c r="BL31" s="353"/>
      <c r="BM31" s="353"/>
      <c r="BN31" s="353"/>
      <c r="BO31" s="353"/>
      <c r="BP31" s="353"/>
      <c r="BQ31" s="353"/>
      <c r="BR31" s="353"/>
      <c r="BS31" s="353"/>
      <c r="BT31" s="353"/>
      <c r="BU31" s="353"/>
      <c r="BV31" s="353"/>
      <c r="BW31" s="353"/>
      <c r="BX31" s="353"/>
      <c r="BY31" s="353"/>
      <c r="BZ31" s="353"/>
      <c r="CA31" s="353"/>
      <c r="CB31" s="353"/>
      <c r="CC31" s="353"/>
      <c r="CD31" s="353"/>
      <c r="CE31" s="353"/>
      <c r="CF31" s="353"/>
      <c r="CG31" s="353"/>
      <c r="CH31" s="353"/>
      <c r="CI31" s="353"/>
      <c r="CJ31" s="353"/>
      <c r="CK31" s="353"/>
      <c r="CL31" s="353"/>
      <c r="CM31" s="353"/>
      <c r="CN31" s="353"/>
      <c r="CO31" s="353"/>
      <c r="CP31" s="353"/>
      <c r="CQ31" s="353"/>
      <c r="CR31" s="353"/>
      <c r="CS31" s="353"/>
      <c r="CT31" s="353"/>
      <c r="CU31" s="353"/>
      <c r="CV31" s="353"/>
      <c r="CW31" s="353"/>
      <c r="CX31" s="353"/>
      <c r="CY31" s="353"/>
      <c r="CZ31" s="353"/>
      <c r="DA31" s="353"/>
      <c r="DB31" s="353"/>
      <c r="DC31" s="353"/>
      <c r="DD31" s="353"/>
      <c r="DE31" s="353"/>
      <c r="DF31" s="353"/>
      <c r="DG31" s="353"/>
      <c r="DH31" s="353"/>
      <c r="DI31" s="353"/>
      <c r="DJ31" s="353"/>
      <c r="DK31" s="353"/>
      <c r="DL31" s="353"/>
      <c r="DM31" s="353"/>
      <c r="DN31" s="353"/>
      <c r="DO31" s="353"/>
      <c r="DP31" s="353"/>
      <c r="DQ31" s="353"/>
      <c r="DR31" s="353"/>
      <c r="DS31" s="353"/>
      <c r="DT31" s="353"/>
      <c r="DU31" s="353"/>
      <c r="DV31" s="353"/>
      <c r="DW31" s="353"/>
      <c r="DX31" s="353"/>
      <c r="DY31" s="353"/>
      <c r="DZ31" s="353"/>
      <c r="EA31" s="353"/>
      <c r="EB31" s="353"/>
      <c r="EC31" s="353"/>
    </row>
    <row r="32" spans="2:133" s="354" customFormat="1" ht="15.75">
      <c r="B32" s="671"/>
      <c r="C32" s="807" t="s">
        <v>108</v>
      </c>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c r="BA32" s="353"/>
      <c r="BB32" s="353"/>
      <c r="BC32" s="353"/>
      <c r="BD32" s="353"/>
      <c r="BE32" s="353"/>
      <c r="BF32" s="353"/>
      <c r="BG32" s="353"/>
      <c r="BH32" s="353"/>
      <c r="BI32" s="353"/>
      <c r="BJ32" s="353"/>
      <c r="BK32" s="353"/>
      <c r="BL32" s="353"/>
      <c r="BM32" s="353"/>
      <c r="BN32" s="353"/>
      <c r="BO32" s="353"/>
      <c r="BP32" s="353"/>
      <c r="BQ32" s="353"/>
      <c r="BR32" s="353"/>
      <c r="BS32" s="353"/>
      <c r="BT32" s="353"/>
      <c r="BU32" s="353"/>
      <c r="BV32" s="353"/>
      <c r="BW32" s="353"/>
      <c r="BX32" s="353"/>
      <c r="BY32" s="353"/>
      <c r="BZ32" s="353"/>
      <c r="CA32" s="353"/>
      <c r="CB32" s="353"/>
      <c r="CC32" s="353"/>
      <c r="CD32" s="353"/>
      <c r="CE32" s="353"/>
      <c r="CF32" s="353"/>
      <c r="CG32" s="353"/>
      <c r="CH32" s="353"/>
      <c r="CI32" s="353"/>
      <c r="CJ32" s="353"/>
      <c r="CK32" s="353"/>
      <c r="CL32" s="353"/>
      <c r="CM32" s="353"/>
      <c r="CN32" s="353"/>
      <c r="CO32" s="353"/>
      <c r="CP32" s="353"/>
      <c r="CQ32" s="353"/>
      <c r="CR32" s="353"/>
      <c r="CS32" s="353"/>
      <c r="CT32" s="353"/>
      <c r="CU32" s="353"/>
      <c r="CV32" s="353"/>
      <c r="CW32" s="353"/>
      <c r="CX32" s="353"/>
      <c r="CY32" s="353"/>
      <c r="CZ32" s="353"/>
      <c r="DA32" s="353"/>
      <c r="DB32" s="353"/>
      <c r="DC32" s="353"/>
      <c r="DD32" s="353"/>
      <c r="DE32" s="353"/>
      <c r="DF32" s="353"/>
      <c r="DG32" s="353"/>
      <c r="DH32" s="353"/>
      <c r="DI32" s="353"/>
      <c r="DJ32" s="353"/>
      <c r="DK32" s="353"/>
      <c r="DL32" s="353"/>
      <c r="DM32" s="353"/>
      <c r="DN32" s="353"/>
      <c r="DO32" s="353"/>
      <c r="DP32" s="353"/>
      <c r="DQ32" s="353"/>
      <c r="DR32" s="353"/>
      <c r="DS32" s="353"/>
      <c r="DT32" s="353"/>
      <c r="DU32" s="353"/>
      <c r="DV32" s="353"/>
      <c r="DW32" s="353"/>
      <c r="DX32" s="353"/>
      <c r="DY32" s="353"/>
      <c r="DZ32" s="353"/>
      <c r="EA32" s="353"/>
      <c r="EB32" s="353"/>
      <c r="EC32" s="353"/>
    </row>
    <row r="33" spans="2:133" s="354" customFormat="1" ht="15.75">
      <c r="B33" s="671"/>
      <c r="C33" s="675"/>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3"/>
      <c r="BG33" s="353"/>
      <c r="BH33" s="353"/>
      <c r="BI33" s="353"/>
      <c r="BJ33" s="353"/>
      <c r="BK33" s="353"/>
      <c r="BL33" s="353"/>
      <c r="BM33" s="353"/>
      <c r="BN33" s="353"/>
      <c r="BO33" s="353"/>
      <c r="BP33" s="353"/>
      <c r="BQ33" s="353"/>
      <c r="BR33" s="353"/>
      <c r="BS33" s="353"/>
      <c r="BT33" s="353"/>
      <c r="BU33" s="353"/>
      <c r="BV33" s="353"/>
      <c r="BW33" s="353"/>
      <c r="BX33" s="353"/>
      <c r="BY33" s="353"/>
      <c r="BZ33" s="353"/>
      <c r="CA33" s="353"/>
      <c r="CB33" s="353"/>
      <c r="CC33" s="353"/>
      <c r="CD33" s="353"/>
      <c r="CE33" s="353"/>
      <c r="CF33" s="353"/>
      <c r="CG33" s="353"/>
      <c r="CH33" s="353"/>
      <c r="CI33" s="353"/>
      <c r="CJ33" s="353"/>
      <c r="CK33" s="353"/>
      <c r="CL33" s="353"/>
      <c r="CM33" s="353"/>
      <c r="CN33" s="353"/>
      <c r="CO33" s="353"/>
      <c r="CP33" s="353"/>
      <c r="CQ33" s="353"/>
      <c r="CR33" s="353"/>
      <c r="CS33" s="353"/>
      <c r="CT33" s="353"/>
      <c r="CU33" s="353"/>
      <c r="CV33" s="353"/>
      <c r="CW33" s="353"/>
      <c r="CX33" s="353"/>
      <c r="CY33" s="353"/>
      <c r="CZ33" s="353"/>
      <c r="DA33" s="353"/>
      <c r="DB33" s="353"/>
      <c r="DC33" s="353"/>
      <c r="DD33" s="353"/>
      <c r="DE33" s="353"/>
      <c r="DF33" s="353"/>
      <c r="DG33" s="353"/>
      <c r="DH33" s="353"/>
      <c r="DI33" s="353"/>
      <c r="DJ33" s="353"/>
      <c r="DK33" s="353"/>
      <c r="DL33" s="353"/>
      <c r="DM33" s="353"/>
      <c r="DN33" s="353"/>
      <c r="DO33" s="353"/>
      <c r="DP33" s="353"/>
      <c r="DQ33" s="353"/>
      <c r="DR33" s="353"/>
      <c r="DS33" s="353"/>
      <c r="DT33" s="353"/>
      <c r="DU33" s="353"/>
      <c r="DV33" s="353"/>
      <c r="DW33" s="353"/>
      <c r="DX33" s="353"/>
      <c r="DY33" s="353"/>
      <c r="DZ33" s="353"/>
      <c r="EA33" s="353"/>
      <c r="EB33" s="353"/>
      <c r="EC33" s="353"/>
    </row>
    <row r="34" spans="2:133" s="354" customFormat="1" ht="15.75">
      <c r="B34" s="672" t="s">
        <v>390</v>
      </c>
      <c r="C34" s="829">
        <f>(D8*C28/D10)/C28</f>
        <v>3.63265306122449</v>
      </c>
      <c r="D34" s="673" t="s">
        <v>391</v>
      </c>
      <c r="E34" s="67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3"/>
      <c r="AN34" s="353"/>
      <c r="AO34" s="353"/>
      <c r="AP34" s="353"/>
      <c r="AQ34" s="353"/>
      <c r="AR34" s="353"/>
      <c r="AS34" s="353"/>
      <c r="AT34" s="353"/>
      <c r="AU34" s="353"/>
      <c r="AV34" s="353"/>
      <c r="AW34" s="353"/>
      <c r="AX34" s="353"/>
      <c r="AY34" s="353"/>
      <c r="AZ34" s="353"/>
      <c r="BA34" s="353"/>
      <c r="BB34" s="353"/>
      <c r="BC34" s="353"/>
      <c r="BD34" s="353"/>
      <c r="BE34" s="353"/>
      <c r="BF34" s="353"/>
      <c r="BG34" s="353"/>
      <c r="BH34" s="353"/>
      <c r="BI34" s="353"/>
      <c r="BJ34" s="353"/>
      <c r="BK34" s="353"/>
      <c r="BL34" s="353"/>
      <c r="BM34" s="353"/>
      <c r="BN34" s="353"/>
      <c r="BO34" s="353"/>
      <c r="BP34" s="353"/>
      <c r="BQ34" s="353"/>
      <c r="BR34" s="353"/>
      <c r="BS34" s="353"/>
      <c r="BT34" s="353"/>
      <c r="BU34" s="353"/>
      <c r="BV34" s="353"/>
      <c r="BW34" s="353"/>
      <c r="BX34" s="353"/>
      <c r="BY34" s="353"/>
      <c r="BZ34" s="353"/>
      <c r="CA34" s="353"/>
      <c r="CB34" s="353"/>
      <c r="CC34" s="353"/>
      <c r="CD34" s="353"/>
      <c r="CE34" s="353"/>
      <c r="CF34" s="353"/>
      <c r="CG34" s="353"/>
      <c r="CH34" s="353"/>
      <c r="CI34" s="353"/>
      <c r="CJ34" s="353"/>
      <c r="CK34" s="353"/>
      <c r="CL34" s="353"/>
      <c r="CM34" s="353"/>
      <c r="CN34" s="353"/>
      <c r="CO34" s="353"/>
      <c r="CP34" s="353"/>
      <c r="CQ34" s="353"/>
      <c r="CR34" s="353"/>
      <c r="CS34" s="353"/>
      <c r="CT34" s="353"/>
      <c r="CU34" s="353"/>
      <c r="CV34" s="353"/>
      <c r="CW34" s="353"/>
      <c r="CX34" s="353"/>
      <c r="CY34" s="353"/>
      <c r="CZ34" s="353"/>
      <c r="DA34" s="353"/>
      <c r="DB34" s="353"/>
      <c r="DC34" s="353"/>
      <c r="DD34" s="353"/>
      <c r="DE34" s="353"/>
      <c r="DF34" s="353"/>
      <c r="DG34" s="353"/>
      <c r="DH34" s="353"/>
      <c r="DI34" s="353"/>
      <c r="DJ34" s="353"/>
      <c r="DK34" s="353"/>
      <c r="DL34" s="353"/>
      <c r="DM34" s="353"/>
      <c r="DN34" s="353"/>
      <c r="DO34" s="353"/>
      <c r="DP34" s="353"/>
      <c r="DQ34" s="353"/>
      <c r="DR34" s="353"/>
      <c r="DS34" s="353"/>
      <c r="DT34" s="353"/>
      <c r="DU34" s="353"/>
      <c r="DV34" s="353"/>
      <c r="DW34" s="353"/>
      <c r="DX34" s="353"/>
      <c r="DY34" s="353"/>
      <c r="DZ34" s="353"/>
      <c r="EA34" s="353"/>
      <c r="EB34" s="353"/>
      <c r="EC34" s="353"/>
    </row>
    <row r="35" spans="2:133" s="354" customFormat="1" ht="15.75">
      <c r="B35" s="672"/>
      <c r="C35" s="829">
        <f>(D8*C28)/D10</f>
        <v>21.79591836734694</v>
      </c>
      <c r="D35" s="673" t="s">
        <v>393</v>
      </c>
      <c r="E35" s="67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c r="BB35" s="353"/>
      <c r="BC35" s="353"/>
      <c r="BD35" s="353"/>
      <c r="BE35" s="353"/>
      <c r="BF35" s="353"/>
      <c r="BG35" s="353"/>
      <c r="BH35" s="353"/>
      <c r="BI35" s="353"/>
      <c r="BJ35" s="353"/>
      <c r="BK35" s="353"/>
      <c r="BL35" s="353"/>
      <c r="BM35" s="353"/>
      <c r="BN35" s="353"/>
      <c r="BO35" s="353"/>
      <c r="BP35" s="353"/>
      <c r="BQ35" s="353"/>
      <c r="BR35" s="353"/>
      <c r="BS35" s="353"/>
      <c r="BT35" s="353"/>
      <c r="BU35" s="353"/>
      <c r="BV35" s="353"/>
      <c r="BW35" s="353"/>
      <c r="BX35" s="353"/>
      <c r="BY35" s="353"/>
      <c r="BZ35" s="353"/>
      <c r="CA35" s="353"/>
      <c r="CB35" s="353"/>
      <c r="CC35" s="353"/>
      <c r="CD35" s="353"/>
      <c r="CE35" s="353"/>
      <c r="CF35" s="353"/>
      <c r="CG35" s="353"/>
      <c r="CH35" s="353"/>
      <c r="CI35" s="353"/>
      <c r="CJ35" s="353"/>
      <c r="CK35" s="353"/>
      <c r="CL35" s="353"/>
      <c r="CM35" s="353"/>
      <c r="CN35" s="353"/>
      <c r="CO35" s="353"/>
      <c r="CP35" s="353"/>
      <c r="CQ35" s="353"/>
      <c r="CR35" s="353"/>
      <c r="CS35" s="353"/>
      <c r="CT35" s="353"/>
      <c r="CU35" s="353"/>
      <c r="CV35" s="353"/>
      <c r="CW35" s="353"/>
      <c r="CX35" s="353"/>
      <c r="CY35" s="353"/>
      <c r="CZ35" s="353"/>
      <c r="DA35" s="353"/>
      <c r="DB35" s="353"/>
      <c r="DC35" s="353"/>
      <c r="DD35" s="353"/>
      <c r="DE35" s="353"/>
      <c r="DF35" s="353"/>
      <c r="DG35" s="353"/>
      <c r="DH35" s="353"/>
      <c r="DI35" s="353"/>
      <c r="DJ35" s="353"/>
      <c r="DK35" s="353"/>
      <c r="DL35" s="353"/>
      <c r="DM35" s="353"/>
      <c r="DN35" s="353"/>
      <c r="DO35" s="353"/>
      <c r="DP35" s="353"/>
      <c r="DQ35" s="353"/>
      <c r="DR35" s="353"/>
      <c r="DS35" s="353"/>
      <c r="DT35" s="353"/>
      <c r="DU35" s="353"/>
      <c r="DV35" s="353"/>
      <c r="DW35" s="353"/>
      <c r="DX35" s="353"/>
      <c r="DY35" s="353"/>
      <c r="DZ35" s="353"/>
      <c r="EA35" s="353"/>
      <c r="EB35" s="353"/>
      <c r="EC35" s="353"/>
    </row>
    <row r="36" spans="2:133" s="354" customFormat="1" ht="15.75">
      <c r="B36" s="672" t="s">
        <v>394</v>
      </c>
      <c r="C36" s="673">
        <f>1/D9</f>
        <v>0.1</v>
      </c>
      <c r="D36" s="673" t="s">
        <v>395</v>
      </c>
      <c r="E36" s="67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c r="BB36" s="353"/>
      <c r="BC36" s="353"/>
      <c r="BD36" s="353"/>
      <c r="BE36" s="353"/>
      <c r="BF36" s="353"/>
      <c r="BG36" s="353"/>
      <c r="BH36" s="353"/>
      <c r="BI36" s="353"/>
      <c r="BJ36" s="353"/>
      <c r="BK36" s="353"/>
      <c r="BL36" s="353"/>
      <c r="BM36" s="353"/>
      <c r="BN36" s="353"/>
      <c r="BO36" s="353"/>
      <c r="BP36" s="353"/>
      <c r="BQ36" s="353"/>
      <c r="BR36" s="353"/>
      <c r="BS36" s="353"/>
      <c r="BT36" s="353"/>
      <c r="BU36" s="353"/>
      <c r="BV36" s="353"/>
      <c r="BW36" s="353"/>
      <c r="BX36" s="353"/>
      <c r="BY36" s="353"/>
      <c r="BZ36" s="353"/>
      <c r="CA36" s="353"/>
      <c r="CB36" s="353"/>
      <c r="CC36" s="353"/>
      <c r="CD36" s="353"/>
      <c r="CE36" s="353"/>
      <c r="CF36" s="353"/>
      <c r="CG36" s="353"/>
      <c r="CH36" s="353"/>
      <c r="CI36" s="353"/>
      <c r="CJ36" s="353"/>
      <c r="CK36" s="353"/>
      <c r="CL36" s="353"/>
      <c r="CM36" s="353"/>
      <c r="CN36" s="353"/>
      <c r="CO36" s="353"/>
      <c r="CP36" s="353"/>
      <c r="CQ36" s="353"/>
      <c r="CR36" s="353"/>
      <c r="CS36" s="353"/>
      <c r="CT36" s="353"/>
      <c r="CU36" s="353"/>
      <c r="CV36" s="353"/>
      <c r="CW36" s="353"/>
      <c r="CX36" s="353"/>
      <c r="CY36" s="353"/>
      <c r="CZ36" s="353"/>
      <c r="DA36" s="353"/>
      <c r="DB36" s="353"/>
      <c r="DC36" s="353"/>
      <c r="DD36" s="353"/>
      <c r="DE36" s="353"/>
      <c r="DF36" s="353"/>
      <c r="DG36" s="353"/>
      <c r="DH36" s="353"/>
      <c r="DI36" s="353"/>
      <c r="DJ36" s="353"/>
      <c r="DK36" s="353"/>
      <c r="DL36" s="353"/>
      <c r="DM36" s="353"/>
      <c r="DN36" s="353"/>
      <c r="DO36" s="353"/>
      <c r="DP36" s="353"/>
      <c r="DQ36" s="353"/>
      <c r="DR36" s="353"/>
      <c r="DS36" s="353"/>
      <c r="DT36" s="353"/>
      <c r="DU36" s="353"/>
      <c r="DV36" s="353"/>
      <c r="DW36" s="353"/>
      <c r="DX36" s="353"/>
      <c r="DY36" s="353"/>
      <c r="DZ36" s="353"/>
      <c r="EA36" s="353"/>
      <c r="EB36" s="353"/>
      <c r="EC36" s="353"/>
    </row>
    <row r="37" spans="2:133" s="354" customFormat="1" ht="15.75">
      <c r="B37" s="672" t="s">
        <v>396</v>
      </c>
      <c r="C37" s="829">
        <f>C28*((C35+C36)/C35)^0.6</f>
        <v>6.016501730378806</v>
      </c>
      <c r="D37" s="673" t="s">
        <v>23</v>
      </c>
      <c r="E37" s="673"/>
      <c r="F37" s="816"/>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53"/>
      <c r="BD37" s="353"/>
      <c r="BE37" s="353"/>
      <c r="BF37" s="353"/>
      <c r="BG37" s="353"/>
      <c r="BH37" s="353"/>
      <c r="BI37" s="353"/>
      <c r="BJ37" s="353"/>
      <c r="BK37" s="353"/>
      <c r="BL37" s="353"/>
      <c r="BM37" s="353"/>
      <c r="BN37" s="353"/>
      <c r="BO37" s="353"/>
      <c r="BP37" s="353"/>
      <c r="BQ37" s="353"/>
      <c r="BR37" s="353"/>
      <c r="BS37" s="353"/>
      <c r="BT37" s="353"/>
      <c r="BU37" s="353"/>
      <c r="BV37" s="353"/>
      <c r="BW37" s="353"/>
      <c r="BX37" s="353"/>
      <c r="BY37" s="353"/>
      <c r="BZ37" s="353"/>
      <c r="CA37" s="353"/>
      <c r="CB37" s="353"/>
      <c r="CC37" s="353"/>
      <c r="CD37" s="353"/>
      <c r="CE37" s="353"/>
      <c r="CF37" s="353"/>
      <c r="CG37" s="353"/>
      <c r="CH37" s="353"/>
      <c r="CI37" s="353"/>
      <c r="CJ37" s="353"/>
      <c r="CK37" s="353"/>
      <c r="CL37" s="353"/>
      <c r="CM37" s="353"/>
      <c r="CN37" s="353"/>
      <c r="CO37" s="353"/>
      <c r="CP37" s="353"/>
      <c r="CQ37" s="353"/>
      <c r="CR37" s="353"/>
      <c r="CS37" s="353"/>
      <c r="CT37" s="353"/>
      <c r="CU37" s="353"/>
      <c r="CV37" s="353"/>
      <c r="CW37" s="353"/>
      <c r="CX37" s="353"/>
      <c r="CY37" s="353"/>
      <c r="CZ37" s="353"/>
      <c r="DA37" s="353"/>
      <c r="DB37" s="353"/>
      <c r="DC37" s="353"/>
      <c r="DD37" s="353"/>
      <c r="DE37" s="353"/>
      <c r="DF37" s="353"/>
      <c r="DG37" s="353"/>
      <c r="DH37" s="353"/>
      <c r="DI37" s="353"/>
      <c r="DJ37" s="353"/>
      <c r="DK37" s="353"/>
      <c r="DL37" s="353"/>
      <c r="DM37" s="353"/>
      <c r="DN37" s="353"/>
      <c r="DO37" s="353"/>
      <c r="DP37" s="353"/>
      <c r="DQ37" s="353"/>
      <c r="DR37" s="353"/>
      <c r="DS37" s="353"/>
      <c r="DT37" s="353"/>
      <c r="DU37" s="353"/>
      <c r="DV37" s="353"/>
      <c r="DW37" s="353"/>
      <c r="DX37" s="353"/>
      <c r="DY37" s="353"/>
      <c r="DZ37" s="353"/>
      <c r="EA37" s="353"/>
      <c r="EB37" s="353"/>
      <c r="EC37" s="353"/>
    </row>
    <row r="38" spans="2:133" s="354" customFormat="1" ht="15.75">
      <c r="B38" s="671"/>
      <c r="C38" s="675"/>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c r="BB38" s="353"/>
      <c r="BC38" s="353"/>
      <c r="BD38" s="353"/>
      <c r="BE38" s="353"/>
      <c r="BF38" s="353"/>
      <c r="BG38" s="353"/>
      <c r="BH38" s="353"/>
      <c r="BI38" s="353"/>
      <c r="BJ38" s="353"/>
      <c r="BK38" s="353"/>
      <c r="BL38" s="353"/>
      <c r="BM38" s="353"/>
      <c r="BN38" s="353"/>
      <c r="BO38" s="353"/>
      <c r="BP38" s="353"/>
      <c r="BQ38" s="353"/>
      <c r="BR38" s="353"/>
      <c r="BS38" s="353"/>
      <c r="BT38" s="353"/>
      <c r="BU38" s="353"/>
      <c r="BV38" s="353"/>
      <c r="BW38" s="353"/>
      <c r="BX38" s="353"/>
      <c r="BY38" s="353"/>
      <c r="BZ38" s="353"/>
      <c r="CA38" s="353"/>
      <c r="CB38" s="353"/>
      <c r="CC38" s="353"/>
      <c r="CD38" s="353"/>
      <c r="CE38" s="353"/>
      <c r="CF38" s="353"/>
      <c r="CG38" s="353"/>
      <c r="CH38" s="353"/>
      <c r="CI38" s="353"/>
      <c r="CJ38" s="353"/>
      <c r="CK38" s="353"/>
      <c r="CL38" s="353"/>
      <c r="CM38" s="353"/>
      <c r="CN38" s="353"/>
      <c r="CO38" s="353"/>
      <c r="CP38" s="353"/>
      <c r="CQ38" s="353"/>
      <c r="CR38" s="353"/>
      <c r="CS38" s="353"/>
      <c r="CT38" s="353"/>
      <c r="CU38" s="353"/>
      <c r="CV38" s="353"/>
      <c r="CW38" s="353"/>
      <c r="CX38" s="353"/>
      <c r="CY38" s="353"/>
      <c r="CZ38" s="353"/>
      <c r="DA38" s="353"/>
      <c r="DB38" s="353"/>
      <c r="DC38" s="353"/>
      <c r="DD38" s="353"/>
      <c r="DE38" s="353"/>
      <c r="DF38" s="353"/>
      <c r="DG38" s="353"/>
      <c r="DH38" s="353"/>
      <c r="DI38" s="353"/>
      <c r="DJ38" s="353"/>
      <c r="DK38" s="353"/>
      <c r="DL38" s="353"/>
      <c r="DM38" s="353"/>
      <c r="DN38" s="353"/>
      <c r="DO38" s="353"/>
      <c r="DP38" s="353"/>
      <c r="DQ38" s="353"/>
      <c r="DR38" s="353"/>
      <c r="DS38" s="353"/>
      <c r="DT38" s="353"/>
      <c r="DU38" s="353"/>
      <c r="DV38" s="353"/>
      <c r="DW38" s="353"/>
      <c r="DX38" s="353"/>
      <c r="DY38" s="353"/>
      <c r="DZ38" s="353"/>
      <c r="EA38" s="353"/>
      <c r="EB38" s="353"/>
      <c r="EC38" s="353"/>
    </row>
    <row r="39" spans="2:133" s="354" customFormat="1" ht="37.5">
      <c r="B39" s="805" t="s">
        <v>406</v>
      </c>
      <c r="C39" s="675"/>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3"/>
      <c r="BD39" s="353"/>
      <c r="BE39" s="353"/>
      <c r="BF39" s="353"/>
      <c r="BG39" s="353"/>
      <c r="BH39" s="353"/>
      <c r="BI39" s="353"/>
      <c r="BJ39" s="353"/>
      <c r="BK39" s="353"/>
      <c r="BL39" s="353"/>
      <c r="BM39" s="353"/>
      <c r="BN39" s="353"/>
      <c r="BO39" s="353"/>
      <c r="BP39" s="353"/>
      <c r="BQ39" s="353"/>
      <c r="BR39" s="353"/>
      <c r="BS39" s="353"/>
      <c r="BT39" s="353"/>
      <c r="BU39" s="353"/>
      <c r="BV39" s="353"/>
      <c r="BW39" s="353"/>
      <c r="BX39" s="353"/>
      <c r="BY39" s="353"/>
      <c r="BZ39" s="353"/>
      <c r="CA39" s="353"/>
      <c r="CB39" s="353"/>
      <c r="CC39" s="353"/>
      <c r="CD39" s="353"/>
      <c r="CE39" s="353"/>
      <c r="CF39" s="353"/>
      <c r="CG39" s="353"/>
      <c r="CH39" s="353"/>
      <c r="CI39" s="353"/>
      <c r="CJ39" s="353"/>
      <c r="CK39" s="353"/>
      <c r="CL39" s="353"/>
      <c r="CM39" s="353"/>
      <c r="CN39" s="353"/>
      <c r="CO39" s="353"/>
      <c r="CP39" s="353"/>
      <c r="CQ39" s="353"/>
      <c r="CR39" s="353"/>
      <c r="CS39" s="353"/>
      <c r="CT39" s="353"/>
      <c r="CU39" s="353"/>
      <c r="CV39" s="353"/>
      <c r="CW39" s="353"/>
      <c r="CX39" s="353"/>
      <c r="CY39" s="353"/>
      <c r="CZ39" s="353"/>
      <c r="DA39" s="353"/>
      <c r="DB39" s="353"/>
      <c r="DC39" s="353"/>
      <c r="DD39" s="353"/>
      <c r="DE39" s="353"/>
      <c r="DF39" s="353"/>
      <c r="DG39" s="353"/>
      <c r="DH39" s="353"/>
      <c r="DI39" s="353"/>
      <c r="DJ39" s="353"/>
      <c r="DK39" s="353"/>
      <c r="DL39" s="353"/>
      <c r="DM39" s="353"/>
      <c r="DN39" s="353"/>
      <c r="DO39" s="353"/>
      <c r="DP39" s="353"/>
      <c r="DQ39" s="353"/>
      <c r="DR39" s="353"/>
      <c r="DS39" s="353"/>
      <c r="DT39" s="353"/>
      <c r="DU39" s="353"/>
      <c r="DV39" s="353"/>
      <c r="DW39" s="353"/>
      <c r="DX39" s="353"/>
      <c r="DY39" s="353"/>
      <c r="DZ39" s="353"/>
      <c r="EA39" s="353"/>
      <c r="EB39" s="353"/>
      <c r="EC39" s="353"/>
    </row>
    <row r="40" spans="2:133" s="354" customFormat="1" ht="15.75">
      <c r="B40" s="671"/>
      <c r="C40" s="804" t="s">
        <v>368</v>
      </c>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3"/>
      <c r="BC40" s="353"/>
      <c r="BD40" s="353"/>
      <c r="BE40" s="353"/>
      <c r="BF40" s="353"/>
      <c r="BG40" s="353"/>
      <c r="BH40" s="353"/>
      <c r="BI40" s="353"/>
      <c r="BJ40" s="353"/>
      <c r="BK40" s="353"/>
      <c r="BL40" s="353"/>
      <c r="BM40" s="353"/>
      <c r="BN40" s="353"/>
      <c r="BO40" s="353"/>
      <c r="BP40" s="353"/>
      <c r="BQ40" s="353"/>
      <c r="BR40" s="353"/>
      <c r="BS40" s="353"/>
      <c r="BT40" s="353"/>
      <c r="BU40" s="353"/>
      <c r="BV40" s="353"/>
      <c r="BW40" s="353"/>
      <c r="BX40" s="353"/>
      <c r="BY40" s="353"/>
      <c r="BZ40" s="353"/>
      <c r="CA40" s="353"/>
      <c r="CB40" s="353"/>
      <c r="CC40" s="353"/>
      <c r="CD40" s="353"/>
      <c r="CE40" s="353"/>
      <c r="CF40" s="353"/>
      <c r="CG40" s="353"/>
      <c r="CH40" s="353"/>
      <c r="CI40" s="353"/>
      <c r="CJ40" s="353"/>
      <c r="CK40" s="353"/>
      <c r="CL40" s="353"/>
      <c r="CM40" s="353"/>
      <c r="CN40" s="353"/>
      <c r="CO40" s="353"/>
      <c r="CP40" s="353"/>
      <c r="CQ40" s="353"/>
      <c r="CR40" s="353"/>
      <c r="CS40" s="353"/>
      <c r="CT40" s="353"/>
      <c r="CU40" s="353"/>
      <c r="CV40" s="353"/>
      <c r="CW40" s="353"/>
      <c r="CX40" s="353"/>
      <c r="CY40" s="353"/>
      <c r="CZ40" s="353"/>
      <c r="DA40" s="353"/>
      <c r="DB40" s="353"/>
      <c r="DC40" s="353"/>
      <c r="DD40" s="353"/>
      <c r="DE40" s="353"/>
      <c r="DF40" s="353"/>
      <c r="DG40" s="353"/>
      <c r="DH40" s="353"/>
      <c r="DI40" s="353"/>
      <c r="DJ40" s="353"/>
      <c r="DK40" s="353"/>
      <c r="DL40" s="353"/>
      <c r="DM40" s="353"/>
      <c r="DN40" s="353"/>
      <c r="DO40" s="353"/>
      <c r="DP40" s="353"/>
      <c r="DQ40" s="353"/>
      <c r="DR40" s="353"/>
      <c r="DS40" s="353"/>
      <c r="DT40" s="353"/>
      <c r="DU40" s="353"/>
      <c r="DV40" s="353"/>
      <c r="DW40" s="353"/>
      <c r="DX40" s="353"/>
      <c r="DY40" s="353"/>
      <c r="DZ40" s="353"/>
      <c r="EA40" s="353"/>
      <c r="EB40" s="353"/>
      <c r="EC40" s="353"/>
    </row>
    <row r="41" spans="2:133" s="354" customFormat="1" ht="15.75">
      <c r="B41" s="671"/>
      <c r="C41" s="804" t="s">
        <v>397</v>
      </c>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353"/>
      <c r="AM41" s="353"/>
      <c r="AN41" s="353"/>
      <c r="AO41" s="353"/>
      <c r="AP41" s="353"/>
      <c r="AQ41" s="353"/>
      <c r="AR41" s="353"/>
      <c r="AS41" s="353"/>
      <c r="AT41" s="353"/>
      <c r="AU41" s="353"/>
      <c r="AV41" s="353"/>
      <c r="AW41" s="353"/>
      <c r="AX41" s="353"/>
      <c r="AY41" s="353"/>
      <c r="AZ41" s="353"/>
      <c r="BA41" s="353"/>
      <c r="BB41" s="353"/>
      <c r="BC41" s="353"/>
      <c r="BD41" s="353"/>
      <c r="BE41" s="353"/>
      <c r="BF41" s="353"/>
      <c r="BG41" s="353"/>
      <c r="BH41" s="353"/>
      <c r="BI41" s="353"/>
      <c r="BJ41" s="353"/>
      <c r="BK41" s="353"/>
      <c r="BL41" s="353"/>
      <c r="BM41" s="353"/>
      <c r="BN41" s="353"/>
      <c r="BO41" s="353"/>
      <c r="BP41" s="353"/>
      <c r="BQ41" s="353"/>
      <c r="BR41" s="353"/>
      <c r="BS41" s="353"/>
      <c r="BT41" s="353"/>
      <c r="BU41" s="353"/>
      <c r="BV41" s="353"/>
      <c r="BW41" s="353"/>
      <c r="BX41" s="353"/>
      <c r="BY41" s="353"/>
      <c r="BZ41" s="353"/>
      <c r="CA41" s="353"/>
      <c r="CB41" s="353"/>
      <c r="CC41" s="353"/>
      <c r="CD41" s="353"/>
      <c r="CE41" s="353"/>
      <c r="CF41" s="353"/>
      <c r="CG41" s="353"/>
      <c r="CH41" s="353"/>
      <c r="CI41" s="353"/>
      <c r="CJ41" s="353"/>
      <c r="CK41" s="353"/>
      <c r="CL41" s="353"/>
      <c r="CM41" s="353"/>
      <c r="CN41" s="353"/>
      <c r="CO41" s="353"/>
      <c r="CP41" s="353"/>
      <c r="CQ41" s="353"/>
      <c r="CR41" s="353"/>
      <c r="CS41" s="353"/>
      <c r="CT41" s="353"/>
      <c r="CU41" s="353"/>
      <c r="CV41" s="353"/>
      <c r="CW41" s="353"/>
      <c r="CX41" s="353"/>
      <c r="CY41" s="353"/>
      <c r="CZ41" s="353"/>
      <c r="DA41" s="353"/>
      <c r="DB41" s="353"/>
      <c r="DC41" s="353"/>
      <c r="DD41" s="353"/>
      <c r="DE41" s="353"/>
      <c r="DF41" s="353"/>
      <c r="DG41" s="353"/>
      <c r="DH41" s="353"/>
      <c r="DI41" s="353"/>
      <c r="DJ41" s="353"/>
      <c r="DK41" s="353"/>
      <c r="DL41" s="353"/>
      <c r="DM41" s="353"/>
      <c r="DN41" s="353"/>
      <c r="DO41" s="353"/>
      <c r="DP41" s="353"/>
      <c r="DQ41" s="353"/>
      <c r="DR41" s="353"/>
      <c r="DS41" s="353"/>
      <c r="DT41" s="353"/>
      <c r="DU41" s="353"/>
      <c r="DV41" s="353"/>
      <c r="DW41" s="353"/>
      <c r="DX41" s="353"/>
      <c r="DY41" s="353"/>
      <c r="DZ41" s="353"/>
      <c r="EA41" s="353"/>
      <c r="EB41" s="353"/>
      <c r="EC41" s="353"/>
    </row>
    <row r="42" spans="2:133" s="354" customFormat="1" ht="15.75">
      <c r="B42" s="671"/>
      <c r="C42" s="804" t="s">
        <v>398</v>
      </c>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3"/>
      <c r="AY42" s="353"/>
      <c r="AZ42" s="353"/>
      <c r="BA42" s="353"/>
      <c r="BB42" s="353"/>
      <c r="BC42" s="353"/>
      <c r="BD42" s="353"/>
      <c r="BE42" s="353"/>
      <c r="BF42" s="353"/>
      <c r="BG42" s="353"/>
      <c r="BH42" s="353"/>
      <c r="BI42" s="353"/>
      <c r="BJ42" s="353"/>
      <c r="BK42" s="353"/>
      <c r="BL42" s="353"/>
      <c r="BM42" s="353"/>
      <c r="BN42" s="353"/>
      <c r="BO42" s="353"/>
      <c r="BP42" s="353"/>
      <c r="BQ42" s="353"/>
      <c r="BR42" s="353"/>
      <c r="BS42" s="353"/>
      <c r="BT42" s="353"/>
      <c r="BU42" s="353"/>
      <c r="BV42" s="353"/>
      <c r="BW42" s="353"/>
      <c r="BX42" s="353"/>
      <c r="BY42" s="353"/>
      <c r="BZ42" s="353"/>
      <c r="CA42" s="353"/>
      <c r="CB42" s="353"/>
      <c r="CC42" s="353"/>
      <c r="CD42" s="353"/>
      <c r="CE42" s="353"/>
      <c r="CF42" s="353"/>
      <c r="CG42" s="353"/>
      <c r="CH42" s="353"/>
      <c r="CI42" s="353"/>
      <c r="CJ42" s="353"/>
      <c r="CK42" s="353"/>
      <c r="CL42" s="353"/>
      <c r="CM42" s="353"/>
      <c r="CN42" s="353"/>
      <c r="CO42" s="353"/>
      <c r="CP42" s="353"/>
      <c r="CQ42" s="353"/>
      <c r="CR42" s="353"/>
      <c r="CS42" s="353"/>
      <c r="CT42" s="353"/>
      <c r="CU42" s="353"/>
      <c r="CV42" s="353"/>
      <c r="CW42" s="353"/>
      <c r="CX42" s="353"/>
      <c r="CY42" s="353"/>
      <c r="CZ42" s="353"/>
      <c r="DA42" s="353"/>
      <c r="DB42" s="353"/>
      <c r="DC42" s="353"/>
      <c r="DD42" s="353"/>
      <c r="DE42" s="353"/>
      <c r="DF42" s="353"/>
      <c r="DG42" s="353"/>
      <c r="DH42" s="353"/>
      <c r="DI42" s="353"/>
      <c r="DJ42" s="353"/>
      <c r="DK42" s="353"/>
      <c r="DL42" s="353"/>
      <c r="DM42" s="353"/>
      <c r="DN42" s="353"/>
      <c r="DO42" s="353"/>
      <c r="DP42" s="353"/>
      <c r="DQ42" s="353"/>
      <c r="DR42" s="353"/>
      <c r="DS42" s="353"/>
      <c r="DT42" s="353"/>
      <c r="DU42" s="353"/>
      <c r="DV42" s="353"/>
      <c r="DW42" s="353"/>
      <c r="DX42" s="353"/>
      <c r="DY42" s="353"/>
      <c r="DZ42" s="353"/>
      <c r="EA42" s="353"/>
      <c r="EB42" s="353"/>
      <c r="EC42" s="353"/>
    </row>
    <row r="43" spans="2:133" s="354" customFormat="1" ht="15.75">
      <c r="B43" s="671"/>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3"/>
      <c r="BH43" s="353"/>
      <c r="BI43" s="353"/>
      <c r="BJ43" s="353"/>
      <c r="BK43" s="353"/>
      <c r="BL43" s="353"/>
      <c r="BM43" s="353"/>
      <c r="BN43" s="353"/>
      <c r="BO43" s="353"/>
      <c r="BP43" s="353"/>
      <c r="BQ43" s="353"/>
      <c r="BR43" s="353"/>
      <c r="BS43" s="353"/>
      <c r="BT43" s="353"/>
      <c r="BU43" s="353"/>
      <c r="BV43" s="353"/>
      <c r="BW43" s="353"/>
      <c r="BX43" s="353"/>
      <c r="BY43" s="353"/>
      <c r="BZ43" s="353"/>
      <c r="CA43" s="353"/>
      <c r="CB43" s="353"/>
      <c r="CC43" s="353"/>
      <c r="CD43" s="353"/>
      <c r="CE43" s="353"/>
      <c r="CF43" s="353"/>
      <c r="CG43" s="353"/>
      <c r="CH43" s="353"/>
      <c r="CI43" s="353"/>
      <c r="CJ43" s="353"/>
      <c r="CK43" s="353"/>
      <c r="CL43" s="353"/>
      <c r="CM43" s="353"/>
      <c r="CN43" s="353"/>
      <c r="CO43" s="353"/>
      <c r="CP43" s="353"/>
      <c r="CQ43" s="353"/>
      <c r="CR43" s="353"/>
      <c r="CS43" s="353"/>
      <c r="CT43" s="353"/>
      <c r="CU43" s="353"/>
      <c r="CV43" s="353"/>
      <c r="CW43" s="353"/>
      <c r="CX43" s="353"/>
      <c r="CY43" s="353"/>
      <c r="CZ43" s="353"/>
      <c r="DA43" s="353"/>
      <c r="DB43" s="353"/>
      <c r="DC43" s="353"/>
      <c r="DD43" s="353"/>
      <c r="DE43" s="353"/>
      <c r="DF43" s="353"/>
      <c r="DG43" s="353"/>
      <c r="DH43" s="353"/>
      <c r="DI43" s="353"/>
      <c r="DJ43" s="353"/>
      <c r="DK43" s="353"/>
      <c r="DL43" s="353"/>
      <c r="DM43" s="353"/>
      <c r="DN43" s="353"/>
      <c r="DO43" s="353"/>
      <c r="DP43" s="353"/>
      <c r="DQ43" s="353"/>
      <c r="DR43" s="353"/>
      <c r="DS43" s="353"/>
      <c r="DT43" s="353"/>
      <c r="DU43" s="353"/>
      <c r="DV43" s="353"/>
      <c r="DW43" s="353"/>
      <c r="DX43" s="353"/>
      <c r="DY43" s="353"/>
      <c r="DZ43" s="353"/>
      <c r="EA43" s="353"/>
      <c r="EB43" s="353"/>
      <c r="EC43" s="353"/>
    </row>
    <row r="44" spans="2:133" s="354" customFormat="1" ht="47.25">
      <c r="B44" s="671"/>
      <c r="C44" s="803" t="s">
        <v>399</v>
      </c>
      <c r="D44" s="803" t="s">
        <v>400</v>
      </c>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c r="BB44" s="353"/>
      <c r="BC44" s="353"/>
      <c r="BD44" s="353"/>
      <c r="BE44" s="353"/>
      <c r="BF44" s="353"/>
      <c r="BG44" s="353"/>
      <c r="BH44" s="353"/>
      <c r="BI44" s="353"/>
      <c r="BJ44" s="353"/>
      <c r="BK44" s="353"/>
      <c r="BL44" s="353"/>
      <c r="BM44" s="353"/>
      <c r="BN44" s="353"/>
      <c r="BO44" s="353"/>
      <c r="BP44" s="353"/>
      <c r="BQ44" s="353"/>
      <c r="BR44" s="353"/>
      <c r="BS44" s="353"/>
      <c r="BT44" s="353"/>
      <c r="BU44" s="353"/>
      <c r="BV44" s="353"/>
      <c r="BW44" s="353"/>
      <c r="BX44" s="353"/>
      <c r="BY44" s="353"/>
      <c r="BZ44" s="353"/>
      <c r="CA44" s="353"/>
      <c r="CB44" s="353"/>
      <c r="CC44" s="353"/>
      <c r="CD44" s="353"/>
      <c r="CE44" s="353"/>
      <c r="CF44" s="353"/>
      <c r="CG44" s="353"/>
      <c r="CH44" s="353"/>
      <c r="CI44" s="353"/>
      <c r="CJ44" s="353"/>
      <c r="CK44" s="353"/>
      <c r="CL44" s="353"/>
      <c r="CM44" s="353"/>
      <c r="CN44" s="353"/>
      <c r="CO44" s="353"/>
      <c r="CP44" s="353"/>
      <c r="CQ44" s="353"/>
      <c r="CR44" s="353"/>
      <c r="CS44" s="353"/>
      <c r="CT44" s="353"/>
      <c r="CU44" s="353"/>
      <c r="CV44" s="353"/>
      <c r="CW44" s="353"/>
      <c r="CX44" s="353"/>
      <c r="CY44" s="353"/>
      <c r="CZ44" s="353"/>
      <c r="DA44" s="353"/>
      <c r="DB44" s="353"/>
      <c r="DC44" s="353"/>
      <c r="DD44" s="353"/>
      <c r="DE44" s="353"/>
      <c r="DF44" s="353"/>
      <c r="DG44" s="353"/>
      <c r="DH44" s="353"/>
      <c r="DI44" s="353"/>
      <c r="DJ44" s="353"/>
      <c r="DK44" s="353"/>
      <c r="DL44" s="353"/>
      <c r="DM44" s="353"/>
      <c r="DN44" s="353"/>
      <c r="DO44" s="353"/>
      <c r="DP44" s="353"/>
      <c r="DQ44" s="353"/>
      <c r="DR44" s="353"/>
      <c r="DS44" s="353"/>
      <c r="DT44" s="353"/>
      <c r="DU44" s="353"/>
      <c r="DV44" s="353"/>
      <c r="DW44" s="353"/>
      <c r="DX44" s="353"/>
      <c r="DY44" s="353"/>
      <c r="DZ44" s="353"/>
      <c r="EA44" s="353"/>
      <c r="EB44" s="353"/>
      <c r="EC44" s="353"/>
    </row>
    <row r="45" spans="2:133" s="354" customFormat="1" ht="15.75">
      <c r="B45" s="672" t="s">
        <v>401</v>
      </c>
      <c r="C45" s="829">
        <f>C28/(D7/D9)</f>
        <v>5.504587155963303</v>
      </c>
      <c r="D45" s="829">
        <f>C37/(D7/D9)</f>
        <v>5.519726358145693</v>
      </c>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3"/>
      <c r="AY45" s="353"/>
      <c r="AZ45" s="353"/>
      <c r="BA45" s="353"/>
      <c r="BB45" s="353"/>
      <c r="BC45" s="353"/>
      <c r="BD45" s="353"/>
      <c r="BE45" s="353"/>
      <c r="BF45" s="353"/>
      <c r="BG45" s="353"/>
      <c r="BH45" s="353"/>
      <c r="BI45" s="353"/>
      <c r="BJ45" s="353"/>
      <c r="BK45" s="353"/>
      <c r="BL45" s="353"/>
      <c r="BM45" s="353"/>
      <c r="BN45" s="353"/>
      <c r="BO45" s="353"/>
      <c r="BP45" s="353"/>
      <c r="BQ45" s="353"/>
      <c r="BR45" s="353"/>
      <c r="BS45" s="353"/>
      <c r="BT45" s="353"/>
      <c r="BU45" s="353"/>
      <c r="BV45" s="353"/>
      <c r="BW45" s="353"/>
      <c r="BX45" s="353"/>
      <c r="BY45" s="353"/>
      <c r="BZ45" s="353"/>
      <c r="CA45" s="353"/>
      <c r="CB45" s="353"/>
      <c r="CC45" s="353"/>
      <c r="CD45" s="353"/>
      <c r="CE45" s="353"/>
      <c r="CF45" s="353"/>
      <c r="CG45" s="353"/>
      <c r="CH45" s="353"/>
      <c r="CI45" s="353"/>
      <c r="CJ45" s="353"/>
      <c r="CK45" s="353"/>
      <c r="CL45" s="353"/>
      <c r="CM45" s="353"/>
      <c r="CN45" s="353"/>
      <c r="CO45" s="353"/>
      <c r="CP45" s="353"/>
      <c r="CQ45" s="353"/>
      <c r="CR45" s="353"/>
      <c r="CS45" s="353"/>
      <c r="CT45" s="353"/>
      <c r="CU45" s="353"/>
      <c r="CV45" s="353"/>
      <c r="CW45" s="353"/>
      <c r="CX45" s="353"/>
      <c r="CY45" s="353"/>
      <c r="CZ45" s="353"/>
      <c r="DA45" s="353"/>
      <c r="DB45" s="353"/>
      <c r="DC45" s="353"/>
      <c r="DD45" s="353"/>
      <c r="DE45" s="353"/>
      <c r="DF45" s="353"/>
      <c r="DG45" s="353"/>
      <c r="DH45" s="353"/>
      <c r="DI45" s="353"/>
      <c r="DJ45" s="353"/>
      <c r="DK45" s="353"/>
      <c r="DL45" s="353"/>
      <c r="DM45" s="353"/>
      <c r="DN45" s="353"/>
      <c r="DO45" s="353"/>
      <c r="DP45" s="353"/>
      <c r="DQ45" s="353"/>
      <c r="DR45" s="353"/>
      <c r="DS45" s="353"/>
      <c r="DT45" s="353"/>
      <c r="DU45" s="353"/>
      <c r="DV45" s="353"/>
      <c r="DW45" s="353"/>
      <c r="DX45" s="353"/>
      <c r="DY45" s="353"/>
      <c r="DZ45" s="353"/>
      <c r="EA45" s="353"/>
      <c r="EB45" s="353"/>
      <c r="EC45" s="353"/>
    </row>
    <row r="46" spans="2:133" s="354" customFormat="1" ht="17.25" customHeight="1">
      <c r="B46" s="672" t="s">
        <v>402</v>
      </c>
      <c r="C46" s="693">
        <f>C45*2</f>
        <v>11.009174311926605</v>
      </c>
      <c r="D46" s="693">
        <f>D45*2</f>
        <v>11.039452716291386</v>
      </c>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c r="AW46" s="353"/>
      <c r="AX46" s="353"/>
      <c r="AY46" s="353"/>
      <c r="AZ46" s="353"/>
      <c r="BA46" s="353"/>
      <c r="BB46" s="353"/>
      <c r="BC46" s="353"/>
      <c r="BD46" s="353"/>
      <c r="BE46" s="353"/>
      <c r="BF46" s="353"/>
      <c r="BG46" s="353"/>
      <c r="BH46" s="353"/>
      <c r="BI46" s="353"/>
      <c r="BJ46" s="353"/>
      <c r="BK46" s="353"/>
      <c r="BL46" s="353"/>
      <c r="BM46" s="353"/>
      <c r="BN46" s="353"/>
      <c r="BO46" s="353"/>
      <c r="BP46" s="353"/>
      <c r="BQ46" s="353"/>
      <c r="BR46" s="353"/>
      <c r="BS46" s="353"/>
      <c r="BT46" s="353"/>
      <c r="BU46" s="353"/>
      <c r="BV46" s="353"/>
      <c r="BW46" s="353"/>
      <c r="BX46" s="353"/>
      <c r="BY46" s="353"/>
      <c r="BZ46" s="353"/>
      <c r="CA46" s="353"/>
      <c r="CB46" s="353"/>
      <c r="CC46" s="353"/>
      <c r="CD46" s="353"/>
      <c r="CE46" s="353"/>
      <c r="CF46" s="353"/>
      <c r="CG46" s="353"/>
      <c r="CH46" s="353"/>
      <c r="CI46" s="353"/>
      <c r="CJ46" s="353"/>
      <c r="CK46" s="353"/>
      <c r="CL46" s="353"/>
      <c r="CM46" s="353"/>
      <c r="CN46" s="353"/>
      <c r="CO46" s="353"/>
      <c r="CP46" s="353"/>
      <c r="CQ46" s="353"/>
      <c r="CR46" s="353"/>
      <c r="CS46" s="353"/>
      <c r="CT46" s="353"/>
      <c r="CU46" s="353"/>
      <c r="CV46" s="353"/>
      <c r="CW46" s="353"/>
      <c r="CX46" s="353"/>
      <c r="CY46" s="353"/>
      <c r="CZ46" s="353"/>
      <c r="DA46" s="353"/>
      <c r="DB46" s="353"/>
      <c r="DC46" s="353"/>
      <c r="DD46" s="353"/>
      <c r="DE46" s="353"/>
      <c r="DF46" s="353"/>
      <c r="DG46" s="353"/>
      <c r="DH46" s="353"/>
      <c r="DI46" s="353"/>
      <c r="DJ46" s="353"/>
      <c r="DK46" s="353"/>
      <c r="DL46" s="353"/>
      <c r="DM46" s="353"/>
      <c r="DN46" s="353"/>
      <c r="DO46" s="353"/>
      <c r="DP46" s="353"/>
      <c r="DQ46" s="353"/>
      <c r="DR46" s="353"/>
      <c r="DS46" s="353"/>
      <c r="DT46" s="353"/>
      <c r="DU46" s="353"/>
      <c r="DV46" s="353"/>
      <c r="DW46" s="353"/>
      <c r="DX46" s="353"/>
      <c r="DY46" s="353"/>
      <c r="DZ46" s="353"/>
      <c r="EA46" s="353"/>
      <c r="EB46" s="353"/>
      <c r="EC46" s="353"/>
    </row>
    <row r="47" spans="2:133" s="354" customFormat="1" ht="15.75">
      <c r="B47" s="672" t="s">
        <v>403</v>
      </c>
      <c r="C47" s="693"/>
      <c r="D47" s="693">
        <f>D45-C45</f>
        <v>0.015139202182390399</v>
      </c>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c r="BB47" s="353"/>
      <c r="BC47" s="353"/>
      <c r="BD47" s="353"/>
      <c r="BE47" s="353"/>
      <c r="BF47" s="353"/>
      <c r="BG47" s="353"/>
      <c r="BH47" s="353"/>
      <c r="BI47" s="353"/>
      <c r="BJ47" s="353"/>
      <c r="BK47" s="353"/>
      <c r="BL47" s="353"/>
      <c r="BM47" s="353"/>
      <c r="BN47" s="353"/>
      <c r="BO47" s="353"/>
      <c r="BP47" s="353"/>
      <c r="BQ47" s="353"/>
      <c r="BR47" s="353"/>
      <c r="BS47" s="353"/>
      <c r="BT47" s="353"/>
      <c r="BU47" s="353"/>
      <c r="BV47" s="353"/>
      <c r="BW47" s="353"/>
      <c r="BX47" s="353"/>
      <c r="BY47" s="353"/>
      <c r="BZ47" s="353"/>
      <c r="CA47" s="353"/>
      <c r="CB47" s="353"/>
      <c r="CC47" s="353"/>
      <c r="CD47" s="353"/>
      <c r="CE47" s="353"/>
      <c r="CF47" s="353"/>
      <c r="CG47" s="353"/>
      <c r="CH47" s="353"/>
      <c r="CI47" s="353"/>
      <c r="CJ47" s="353"/>
      <c r="CK47" s="353"/>
      <c r="CL47" s="353"/>
      <c r="CM47" s="353"/>
      <c r="CN47" s="353"/>
      <c r="CO47" s="353"/>
      <c r="CP47" s="353"/>
      <c r="CQ47" s="353"/>
      <c r="CR47" s="353"/>
      <c r="CS47" s="353"/>
      <c r="CT47" s="353"/>
      <c r="CU47" s="353"/>
      <c r="CV47" s="353"/>
      <c r="CW47" s="353"/>
      <c r="CX47" s="353"/>
      <c r="CY47" s="353"/>
      <c r="CZ47" s="353"/>
      <c r="DA47" s="353"/>
      <c r="DB47" s="353"/>
      <c r="DC47" s="353"/>
      <c r="DD47" s="353"/>
      <c r="DE47" s="353"/>
      <c r="DF47" s="353"/>
      <c r="DG47" s="353"/>
      <c r="DH47" s="353"/>
      <c r="DI47" s="353"/>
      <c r="DJ47" s="353"/>
      <c r="DK47" s="353"/>
      <c r="DL47" s="353"/>
      <c r="DM47" s="353"/>
      <c r="DN47" s="353"/>
      <c r="DO47" s="353"/>
      <c r="DP47" s="353"/>
      <c r="DQ47" s="353"/>
      <c r="DR47" s="353"/>
      <c r="DS47" s="353"/>
      <c r="DT47" s="353"/>
      <c r="DU47" s="353"/>
      <c r="DV47" s="353"/>
      <c r="DW47" s="353"/>
      <c r="DX47" s="353"/>
      <c r="DY47" s="353"/>
      <c r="DZ47" s="353"/>
      <c r="EA47" s="353"/>
      <c r="EB47" s="353"/>
      <c r="EC47" s="353"/>
    </row>
    <row r="48" spans="2:133" s="354" customFormat="1" ht="15.75">
      <c r="B48" s="672" t="s">
        <v>404</v>
      </c>
      <c r="C48" s="693"/>
      <c r="D48" s="812">
        <f>D6</f>
        <v>13.3</v>
      </c>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3"/>
      <c r="AX48" s="353"/>
      <c r="AY48" s="353"/>
      <c r="AZ48" s="353"/>
      <c r="BA48" s="353"/>
      <c r="BB48" s="353"/>
      <c r="BC48" s="353"/>
      <c r="BD48" s="353"/>
      <c r="BE48" s="353"/>
      <c r="BF48" s="353"/>
      <c r="BG48" s="353"/>
      <c r="BH48" s="353"/>
      <c r="BI48" s="353"/>
      <c r="BJ48" s="353"/>
      <c r="BK48" s="353"/>
      <c r="BL48" s="353"/>
      <c r="BM48" s="353"/>
      <c r="BN48" s="353"/>
      <c r="BO48" s="353"/>
      <c r="BP48" s="353"/>
      <c r="BQ48" s="353"/>
      <c r="BR48" s="353"/>
      <c r="BS48" s="353"/>
      <c r="BT48" s="353"/>
      <c r="BU48" s="353"/>
      <c r="BV48" s="353"/>
      <c r="BW48" s="353"/>
      <c r="BX48" s="353"/>
      <c r="BY48" s="353"/>
      <c r="BZ48" s="353"/>
      <c r="CA48" s="353"/>
      <c r="CB48" s="353"/>
      <c r="CC48" s="353"/>
      <c r="CD48" s="353"/>
      <c r="CE48" s="353"/>
      <c r="CF48" s="353"/>
      <c r="CG48" s="353"/>
      <c r="CH48" s="353"/>
      <c r="CI48" s="353"/>
      <c r="CJ48" s="353"/>
      <c r="CK48" s="353"/>
      <c r="CL48" s="353"/>
      <c r="CM48" s="353"/>
      <c r="CN48" s="353"/>
      <c r="CO48" s="353"/>
      <c r="CP48" s="353"/>
      <c r="CQ48" s="353"/>
      <c r="CR48" s="353"/>
      <c r="CS48" s="353"/>
      <c r="CT48" s="353"/>
      <c r="CU48" s="353"/>
      <c r="CV48" s="353"/>
      <c r="CW48" s="353"/>
      <c r="CX48" s="353"/>
      <c r="CY48" s="353"/>
      <c r="CZ48" s="353"/>
      <c r="DA48" s="353"/>
      <c r="DB48" s="353"/>
      <c r="DC48" s="353"/>
      <c r="DD48" s="353"/>
      <c r="DE48" s="353"/>
      <c r="DF48" s="353"/>
      <c r="DG48" s="353"/>
      <c r="DH48" s="353"/>
      <c r="DI48" s="353"/>
      <c r="DJ48" s="353"/>
      <c r="DK48" s="353"/>
      <c r="DL48" s="353"/>
      <c r="DM48" s="353"/>
      <c r="DN48" s="353"/>
      <c r="DO48" s="353"/>
      <c r="DP48" s="353"/>
      <c r="DQ48" s="353"/>
      <c r="DR48" s="353"/>
      <c r="DS48" s="353"/>
      <c r="DT48" s="353"/>
      <c r="DU48" s="353"/>
      <c r="DV48" s="353"/>
      <c r="DW48" s="353"/>
      <c r="DX48" s="353"/>
      <c r="DY48" s="353"/>
      <c r="DZ48" s="353"/>
      <c r="EA48" s="353"/>
      <c r="EB48" s="353"/>
      <c r="EC48" s="353"/>
    </row>
    <row r="49" spans="2:133" s="354" customFormat="1" ht="15.75">
      <c r="B49" s="674" t="s">
        <v>405</v>
      </c>
      <c r="C49" s="811"/>
      <c r="D49" s="813">
        <f>D48*D47</f>
        <v>0.2013513890257923</v>
      </c>
      <c r="E49" s="817"/>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c r="DJ49" s="353"/>
      <c r="DK49" s="353"/>
      <c r="DL49" s="353"/>
      <c r="DM49" s="353"/>
      <c r="DN49" s="353"/>
      <c r="DO49" s="353"/>
      <c r="DP49" s="353"/>
      <c r="DQ49" s="353"/>
      <c r="DR49" s="353"/>
      <c r="DS49" s="353"/>
      <c r="DT49" s="353"/>
      <c r="DU49" s="353"/>
      <c r="DV49" s="353"/>
      <c r="DW49" s="353"/>
      <c r="DX49" s="353"/>
      <c r="DY49" s="353"/>
      <c r="DZ49" s="353"/>
      <c r="EA49" s="353"/>
      <c r="EB49" s="353"/>
      <c r="EC49" s="353"/>
    </row>
    <row r="50" spans="2:133" s="354" customFormat="1" ht="15.75">
      <c r="B50" s="671"/>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353"/>
      <c r="AY50" s="353"/>
      <c r="AZ50" s="353"/>
      <c r="BA50" s="353"/>
      <c r="BB50" s="353"/>
      <c r="BC50" s="353"/>
      <c r="BD50" s="353"/>
      <c r="BE50" s="353"/>
      <c r="BF50" s="353"/>
      <c r="BG50" s="353"/>
      <c r="BH50" s="353"/>
      <c r="BI50" s="353"/>
      <c r="BJ50" s="353"/>
      <c r="BK50" s="353"/>
      <c r="BL50" s="353"/>
      <c r="BM50" s="353"/>
      <c r="BN50" s="353"/>
      <c r="BO50" s="353"/>
      <c r="BP50" s="353"/>
      <c r="BQ50" s="353"/>
      <c r="BR50" s="353"/>
      <c r="BS50" s="353"/>
      <c r="BT50" s="353"/>
      <c r="BU50" s="353"/>
      <c r="BV50" s="353"/>
      <c r="BW50" s="353"/>
      <c r="BX50" s="353"/>
      <c r="BY50" s="353"/>
      <c r="BZ50" s="353"/>
      <c r="CA50" s="353"/>
      <c r="CB50" s="353"/>
      <c r="CC50" s="353"/>
      <c r="CD50" s="353"/>
      <c r="CE50" s="353"/>
      <c r="CF50" s="353"/>
      <c r="CG50" s="353"/>
      <c r="CH50" s="353"/>
      <c r="CI50" s="353"/>
      <c r="CJ50" s="353"/>
      <c r="CK50" s="353"/>
      <c r="CL50" s="353"/>
      <c r="CM50" s="353"/>
      <c r="CN50" s="353"/>
      <c r="CO50" s="353"/>
      <c r="CP50" s="353"/>
      <c r="CQ50" s="353"/>
      <c r="CR50" s="353"/>
      <c r="CS50" s="353"/>
      <c r="CT50" s="353"/>
      <c r="CU50" s="353"/>
      <c r="CV50" s="353"/>
      <c r="CW50" s="353"/>
      <c r="CX50" s="353"/>
      <c r="CY50" s="353"/>
      <c r="CZ50" s="353"/>
      <c r="DA50" s="353"/>
      <c r="DB50" s="353"/>
      <c r="DC50" s="353"/>
      <c r="DD50" s="353"/>
      <c r="DE50" s="353"/>
      <c r="DF50" s="353"/>
      <c r="DG50" s="353"/>
      <c r="DH50" s="353"/>
      <c r="DI50" s="353"/>
      <c r="DJ50" s="353"/>
      <c r="DK50" s="353"/>
      <c r="DL50" s="353"/>
      <c r="DM50" s="353"/>
      <c r="DN50" s="353"/>
      <c r="DO50" s="353"/>
      <c r="DP50" s="353"/>
      <c r="DQ50" s="353"/>
      <c r="DR50" s="353"/>
      <c r="DS50" s="353"/>
      <c r="DT50" s="353"/>
      <c r="DU50" s="353"/>
      <c r="DV50" s="353"/>
      <c r="DW50" s="353"/>
      <c r="DX50" s="353"/>
      <c r="DY50" s="353"/>
      <c r="DZ50" s="353"/>
      <c r="EA50" s="353"/>
      <c r="EB50" s="353"/>
      <c r="EC50" s="353"/>
    </row>
    <row r="51" spans="2:133" s="354" customFormat="1" ht="14.25" customHeight="1">
      <c r="B51" s="805" t="s">
        <v>411</v>
      </c>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c r="AZ51" s="353"/>
      <c r="BA51" s="353"/>
      <c r="BB51" s="353"/>
      <c r="BC51" s="353"/>
      <c r="BD51" s="353"/>
      <c r="BE51" s="353"/>
      <c r="BF51" s="353"/>
      <c r="BG51" s="353"/>
      <c r="BH51" s="353"/>
      <c r="BI51" s="353"/>
      <c r="BJ51" s="353"/>
      <c r="BK51" s="353"/>
      <c r="BL51" s="353"/>
      <c r="BM51" s="353"/>
      <c r="BN51" s="353"/>
      <c r="BO51" s="353"/>
      <c r="BP51" s="353"/>
      <c r="BQ51" s="353"/>
      <c r="BR51" s="353"/>
      <c r="BS51" s="353"/>
      <c r="BT51" s="353"/>
      <c r="BU51" s="353"/>
      <c r="BV51" s="353"/>
      <c r="BW51" s="353"/>
      <c r="BX51" s="353"/>
      <c r="BY51" s="353"/>
      <c r="BZ51" s="353"/>
      <c r="CA51" s="353"/>
      <c r="CB51" s="353"/>
      <c r="CC51" s="353"/>
      <c r="CD51" s="353"/>
      <c r="CE51" s="353"/>
      <c r="CF51" s="353"/>
      <c r="CG51" s="353"/>
      <c r="CH51" s="353"/>
      <c r="CI51" s="353"/>
      <c r="CJ51" s="353"/>
      <c r="CK51" s="353"/>
      <c r="CL51" s="353"/>
      <c r="CM51" s="353"/>
      <c r="CN51" s="353"/>
      <c r="CO51" s="353"/>
      <c r="CP51" s="353"/>
      <c r="CQ51" s="353"/>
      <c r="CR51" s="353"/>
      <c r="CS51" s="353"/>
      <c r="CT51" s="353"/>
      <c r="CU51" s="353"/>
      <c r="CV51" s="353"/>
      <c r="CW51" s="353"/>
      <c r="CX51" s="353"/>
      <c r="CY51" s="353"/>
      <c r="CZ51" s="353"/>
      <c r="DA51" s="353"/>
      <c r="DB51" s="353"/>
      <c r="DC51" s="353"/>
      <c r="DD51" s="353"/>
      <c r="DE51" s="353"/>
      <c r="DF51" s="353"/>
      <c r="DG51" s="353"/>
      <c r="DH51" s="353"/>
      <c r="DI51" s="353"/>
      <c r="DJ51" s="353"/>
      <c r="DK51" s="353"/>
      <c r="DL51" s="353"/>
      <c r="DM51" s="353"/>
      <c r="DN51" s="353"/>
      <c r="DO51" s="353"/>
      <c r="DP51" s="353"/>
      <c r="DQ51" s="353"/>
      <c r="DR51" s="353"/>
      <c r="DS51" s="353"/>
      <c r="DT51" s="353"/>
      <c r="DU51" s="353"/>
      <c r="DV51" s="353"/>
      <c r="DW51" s="353"/>
      <c r="DX51" s="353"/>
      <c r="DY51" s="353"/>
      <c r="DZ51" s="353"/>
      <c r="EA51" s="353"/>
      <c r="EB51" s="353"/>
      <c r="EC51" s="353"/>
    </row>
    <row r="52" spans="2:133" s="354" customFormat="1" ht="15.75">
      <c r="B52" s="671"/>
      <c r="C52" s="804" t="s">
        <v>368</v>
      </c>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c r="AZ52" s="353"/>
      <c r="BA52" s="353"/>
      <c r="BB52" s="353"/>
      <c r="BC52" s="353"/>
      <c r="BD52" s="353"/>
      <c r="BE52" s="353"/>
      <c r="BF52" s="353"/>
      <c r="BG52" s="353"/>
      <c r="BH52" s="353"/>
      <c r="BI52" s="353"/>
      <c r="BJ52" s="353"/>
      <c r="BK52" s="353"/>
      <c r="BL52" s="353"/>
      <c r="BM52" s="353"/>
      <c r="BN52" s="353"/>
      <c r="BO52" s="353"/>
      <c r="BP52" s="353"/>
      <c r="BQ52" s="353"/>
      <c r="BR52" s="353"/>
      <c r="BS52" s="353"/>
      <c r="BT52" s="353"/>
      <c r="BU52" s="353"/>
      <c r="BV52" s="353"/>
      <c r="BW52" s="353"/>
      <c r="BX52" s="353"/>
      <c r="BY52" s="353"/>
      <c r="BZ52" s="353"/>
      <c r="CA52" s="353"/>
      <c r="CB52" s="353"/>
      <c r="CC52" s="353"/>
      <c r="CD52" s="353"/>
      <c r="CE52" s="353"/>
      <c r="CF52" s="353"/>
      <c r="CG52" s="353"/>
      <c r="CH52" s="353"/>
      <c r="CI52" s="353"/>
      <c r="CJ52" s="353"/>
      <c r="CK52" s="353"/>
      <c r="CL52" s="353"/>
      <c r="CM52" s="353"/>
      <c r="CN52" s="353"/>
      <c r="CO52" s="353"/>
      <c r="CP52" s="353"/>
      <c r="CQ52" s="353"/>
      <c r="CR52" s="353"/>
      <c r="CS52" s="353"/>
      <c r="CT52" s="353"/>
      <c r="CU52" s="353"/>
      <c r="CV52" s="353"/>
      <c r="CW52" s="353"/>
      <c r="CX52" s="353"/>
      <c r="CY52" s="353"/>
      <c r="CZ52" s="353"/>
      <c r="DA52" s="353"/>
      <c r="DB52" s="353"/>
      <c r="DC52" s="353"/>
      <c r="DD52" s="353"/>
      <c r="DE52" s="353"/>
      <c r="DF52" s="353"/>
      <c r="DG52" s="353"/>
      <c r="DH52" s="353"/>
      <c r="DI52" s="353"/>
      <c r="DJ52" s="353"/>
      <c r="DK52" s="353"/>
      <c r="DL52" s="353"/>
      <c r="DM52" s="353"/>
      <c r="DN52" s="353"/>
      <c r="DO52" s="353"/>
      <c r="DP52" s="353"/>
      <c r="DQ52" s="353"/>
      <c r="DR52" s="353"/>
      <c r="DS52" s="353"/>
      <c r="DT52" s="353"/>
      <c r="DU52" s="353"/>
      <c r="DV52" s="353"/>
      <c r="DW52" s="353"/>
      <c r="DX52" s="353"/>
      <c r="DY52" s="353"/>
      <c r="DZ52" s="353"/>
      <c r="EA52" s="353"/>
      <c r="EB52" s="353"/>
      <c r="EC52" s="353"/>
    </row>
    <row r="53" spans="2:133" s="354" customFormat="1" ht="15.75">
      <c r="B53" s="671"/>
      <c r="C53" s="804" t="s">
        <v>407</v>
      </c>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c r="AZ53" s="353"/>
      <c r="BA53" s="353"/>
      <c r="BB53" s="353"/>
      <c r="BC53" s="353"/>
      <c r="BD53" s="353"/>
      <c r="BE53" s="353"/>
      <c r="BF53" s="353"/>
      <c r="BG53" s="353"/>
      <c r="BH53" s="353"/>
      <c r="BI53" s="353"/>
      <c r="BJ53" s="353"/>
      <c r="BK53" s="353"/>
      <c r="BL53" s="353"/>
      <c r="BM53" s="353"/>
      <c r="BN53" s="353"/>
      <c r="BO53" s="353"/>
      <c r="BP53" s="353"/>
      <c r="BQ53" s="353"/>
      <c r="BR53" s="353"/>
      <c r="BS53" s="353"/>
      <c r="BT53" s="353"/>
      <c r="BU53" s="353"/>
      <c r="BV53" s="353"/>
      <c r="BW53" s="353"/>
      <c r="BX53" s="353"/>
      <c r="BY53" s="353"/>
      <c r="BZ53" s="353"/>
      <c r="CA53" s="353"/>
      <c r="CB53" s="353"/>
      <c r="CC53" s="353"/>
      <c r="CD53" s="353"/>
      <c r="CE53" s="353"/>
      <c r="CF53" s="353"/>
      <c r="CG53" s="353"/>
      <c r="CH53" s="353"/>
      <c r="CI53" s="353"/>
      <c r="CJ53" s="353"/>
      <c r="CK53" s="353"/>
      <c r="CL53" s="353"/>
      <c r="CM53" s="353"/>
      <c r="CN53" s="353"/>
      <c r="CO53" s="353"/>
      <c r="CP53" s="353"/>
      <c r="CQ53" s="353"/>
      <c r="CR53" s="353"/>
      <c r="CS53" s="353"/>
      <c r="CT53" s="353"/>
      <c r="CU53" s="353"/>
      <c r="CV53" s="353"/>
      <c r="CW53" s="353"/>
      <c r="CX53" s="353"/>
      <c r="CY53" s="353"/>
      <c r="CZ53" s="353"/>
      <c r="DA53" s="353"/>
      <c r="DB53" s="353"/>
      <c r="DC53" s="353"/>
      <c r="DD53" s="353"/>
      <c r="DE53" s="353"/>
      <c r="DF53" s="353"/>
      <c r="DG53" s="353"/>
      <c r="DH53" s="353"/>
      <c r="DI53" s="353"/>
      <c r="DJ53" s="353"/>
      <c r="DK53" s="353"/>
      <c r="DL53" s="353"/>
      <c r="DM53" s="353"/>
      <c r="DN53" s="353"/>
      <c r="DO53" s="353"/>
      <c r="DP53" s="353"/>
      <c r="DQ53" s="353"/>
      <c r="DR53" s="353"/>
      <c r="DS53" s="353"/>
      <c r="DT53" s="353"/>
      <c r="DU53" s="353"/>
      <c r="DV53" s="353"/>
      <c r="DW53" s="353"/>
      <c r="DX53" s="353"/>
      <c r="DY53" s="353"/>
      <c r="DZ53" s="353"/>
      <c r="EA53" s="353"/>
      <c r="EB53" s="353"/>
      <c r="EC53" s="353"/>
    </row>
    <row r="54" spans="2:133" s="354" customFormat="1" ht="15.75">
      <c r="B54" s="671"/>
      <c r="C54" s="804" t="s">
        <v>397</v>
      </c>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3"/>
      <c r="BN54" s="353"/>
      <c r="BO54" s="353"/>
      <c r="BP54" s="353"/>
      <c r="BQ54" s="353"/>
      <c r="BR54" s="353"/>
      <c r="BS54" s="353"/>
      <c r="BT54" s="353"/>
      <c r="BU54" s="353"/>
      <c r="BV54" s="353"/>
      <c r="BW54" s="353"/>
      <c r="BX54" s="353"/>
      <c r="BY54" s="353"/>
      <c r="BZ54" s="353"/>
      <c r="CA54" s="353"/>
      <c r="CB54" s="353"/>
      <c r="CC54" s="353"/>
      <c r="CD54" s="353"/>
      <c r="CE54" s="353"/>
      <c r="CF54" s="353"/>
      <c r="CG54" s="353"/>
      <c r="CH54" s="353"/>
      <c r="CI54" s="353"/>
      <c r="CJ54" s="353"/>
      <c r="CK54" s="353"/>
      <c r="CL54" s="353"/>
      <c r="CM54" s="353"/>
      <c r="CN54" s="353"/>
      <c r="CO54" s="353"/>
      <c r="CP54" s="353"/>
      <c r="CQ54" s="353"/>
      <c r="CR54" s="353"/>
      <c r="CS54" s="353"/>
      <c r="CT54" s="353"/>
      <c r="CU54" s="353"/>
      <c r="CV54" s="353"/>
      <c r="CW54" s="353"/>
      <c r="CX54" s="353"/>
      <c r="CY54" s="353"/>
      <c r="CZ54" s="353"/>
      <c r="DA54" s="353"/>
      <c r="DB54" s="353"/>
      <c r="DC54" s="353"/>
      <c r="DD54" s="353"/>
      <c r="DE54" s="353"/>
      <c r="DF54" s="353"/>
      <c r="DG54" s="353"/>
      <c r="DH54" s="353"/>
      <c r="DI54" s="353"/>
      <c r="DJ54" s="353"/>
      <c r="DK54" s="353"/>
      <c r="DL54" s="353"/>
      <c r="DM54" s="353"/>
      <c r="DN54" s="353"/>
      <c r="DO54" s="353"/>
      <c r="DP54" s="353"/>
      <c r="DQ54" s="353"/>
      <c r="DR54" s="353"/>
      <c r="DS54" s="353"/>
      <c r="DT54" s="353"/>
      <c r="DU54" s="353"/>
      <c r="DV54" s="353"/>
      <c r="DW54" s="353"/>
      <c r="DX54" s="353"/>
      <c r="DY54" s="353"/>
      <c r="DZ54" s="353"/>
      <c r="EA54" s="353"/>
      <c r="EB54" s="353"/>
      <c r="EC54" s="353"/>
    </row>
    <row r="55" spans="2:133" s="354" customFormat="1" ht="47.25">
      <c r="B55" s="672"/>
      <c r="C55" s="808" t="s">
        <v>399</v>
      </c>
      <c r="D55" s="808" t="s">
        <v>400</v>
      </c>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3"/>
      <c r="BC55" s="353"/>
      <c r="BD55" s="353"/>
      <c r="BE55" s="353"/>
      <c r="BF55" s="353"/>
      <c r="BG55" s="353"/>
      <c r="BH55" s="353"/>
      <c r="BI55" s="353"/>
      <c r="BJ55" s="353"/>
      <c r="BK55" s="353"/>
      <c r="BL55" s="353"/>
      <c r="BM55" s="353"/>
      <c r="BN55" s="353"/>
      <c r="BO55" s="353"/>
      <c r="BP55" s="353"/>
      <c r="BQ55" s="353"/>
      <c r="BR55" s="353"/>
      <c r="BS55" s="353"/>
      <c r="BT55" s="353"/>
      <c r="BU55" s="353"/>
      <c r="BV55" s="353"/>
      <c r="BW55" s="353"/>
      <c r="BX55" s="353"/>
      <c r="BY55" s="353"/>
      <c r="BZ55" s="353"/>
      <c r="CA55" s="353"/>
      <c r="CB55" s="353"/>
      <c r="CC55" s="353"/>
      <c r="CD55" s="353"/>
      <c r="CE55" s="353"/>
      <c r="CF55" s="353"/>
      <c r="CG55" s="353"/>
      <c r="CH55" s="353"/>
      <c r="CI55" s="353"/>
      <c r="CJ55" s="353"/>
      <c r="CK55" s="353"/>
      <c r="CL55" s="353"/>
      <c r="CM55" s="353"/>
      <c r="CN55" s="353"/>
      <c r="CO55" s="353"/>
      <c r="CP55" s="353"/>
      <c r="CQ55" s="353"/>
      <c r="CR55" s="353"/>
      <c r="CS55" s="353"/>
      <c r="CT55" s="353"/>
      <c r="CU55" s="353"/>
      <c r="CV55" s="353"/>
      <c r="CW55" s="353"/>
      <c r="CX55" s="353"/>
      <c r="CY55" s="353"/>
      <c r="CZ55" s="353"/>
      <c r="DA55" s="353"/>
      <c r="DB55" s="353"/>
      <c r="DC55" s="353"/>
      <c r="DD55" s="353"/>
      <c r="DE55" s="353"/>
      <c r="DF55" s="353"/>
      <c r="DG55" s="353"/>
      <c r="DH55" s="353"/>
      <c r="DI55" s="353"/>
      <c r="DJ55" s="353"/>
      <c r="DK55" s="353"/>
      <c r="DL55" s="353"/>
      <c r="DM55" s="353"/>
      <c r="DN55" s="353"/>
      <c r="DO55" s="353"/>
      <c r="DP55" s="353"/>
      <c r="DQ55" s="353"/>
      <c r="DR55" s="353"/>
      <c r="DS55" s="353"/>
      <c r="DT55" s="353"/>
      <c r="DU55" s="353"/>
      <c r="DV55" s="353"/>
      <c r="DW55" s="353"/>
      <c r="DX55" s="353"/>
      <c r="DY55" s="353"/>
      <c r="DZ55" s="353"/>
      <c r="EA55" s="353"/>
      <c r="EB55" s="353"/>
      <c r="EC55" s="353"/>
    </row>
    <row r="56" spans="2:133" s="354" customFormat="1" ht="15.75">
      <c r="B56" s="672" t="s">
        <v>408</v>
      </c>
      <c r="C56" s="673">
        <f>C45*D7</f>
        <v>60</v>
      </c>
      <c r="D56" s="830">
        <f>D45*D7</f>
        <v>60.165017303788055</v>
      </c>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53"/>
      <c r="BA56" s="353"/>
      <c r="BB56" s="353"/>
      <c r="BC56" s="353"/>
      <c r="BD56" s="353"/>
      <c r="BE56" s="353"/>
      <c r="BF56" s="353"/>
      <c r="BG56" s="353"/>
      <c r="BH56" s="353"/>
      <c r="BI56" s="353"/>
      <c r="BJ56" s="353"/>
      <c r="BK56" s="353"/>
      <c r="BL56" s="353"/>
      <c r="BM56" s="353"/>
      <c r="BN56" s="353"/>
      <c r="BO56" s="353"/>
      <c r="BP56" s="353"/>
      <c r="BQ56" s="353"/>
      <c r="BR56" s="353"/>
      <c r="BS56" s="353"/>
      <c r="BT56" s="353"/>
      <c r="BU56" s="353"/>
      <c r="BV56" s="353"/>
      <c r="BW56" s="353"/>
      <c r="BX56" s="353"/>
      <c r="BY56" s="353"/>
      <c r="BZ56" s="353"/>
      <c r="CA56" s="353"/>
      <c r="CB56" s="353"/>
      <c r="CC56" s="353"/>
      <c r="CD56" s="353"/>
      <c r="CE56" s="353"/>
      <c r="CF56" s="353"/>
      <c r="CG56" s="353"/>
      <c r="CH56" s="353"/>
      <c r="CI56" s="353"/>
      <c r="CJ56" s="353"/>
      <c r="CK56" s="353"/>
      <c r="CL56" s="353"/>
      <c r="CM56" s="353"/>
      <c r="CN56" s="353"/>
      <c r="CO56" s="353"/>
      <c r="CP56" s="353"/>
      <c r="CQ56" s="353"/>
      <c r="CR56" s="353"/>
      <c r="CS56" s="353"/>
      <c r="CT56" s="353"/>
      <c r="CU56" s="353"/>
      <c r="CV56" s="353"/>
      <c r="CW56" s="353"/>
      <c r="CX56" s="353"/>
      <c r="CY56" s="353"/>
      <c r="CZ56" s="353"/>
      <c r="DA56" s="353"/>
      <c r="DB56" s="353"/>
      <c r="DC56" s="353"/>
      <c r="DD56" s="353"/>
      <c r="DE56" s="353"/>
      <c r="DF56" s="353"/>
      <c r="DG56" s="353"/>
      <c r="DH56" s="353"/>
      <c r="DI56" s="353"/>
      <c r="DJ56" s="353"/>
      <c r="DK56" s="353"/>
      <c r="DL56" s="353"/>
      <c r="DM56" s="353"/>
      <c r="DN56" s="353"/>
      <c r="DO56" s="353"/>
      <c r="DP56" s="353"/>
      <c r="DQ56" s="353"/>
      <c r="DR56" s="353"/>
      <c r="DS56" s="353"/>
      <c r="DT56" s="353"/>
      <c r="DU56" s="353"/>
      <c r="DV56" s="353"/>
      <c r="DW56" s="353"/>
      <c r="DX56" s="353"/>
      <c r="DY56" s="353"/>
      <c r="DZ56" s="353"/>
      <c r="EA56" s="353"/>
      <c r="EB56" s="353"/>
      <c r="EC56" s="353"/>
    </row>
    <row r="57" spans="2:133" s="354" customFormat="1" ht="15.75">
      <c r="B57" s="672" t="s">
        <v>409</v>
      </c>
      <c r="C57" s="673">
        <f>C56*2</f>
        <v>120</v>
      </c>
      <c r="D57" s="693">
        <f>D56*2</f>
        <v>120.33003460757611</v>
      </c>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c r="AZ57" s="353"/>
      <c r="BA57" s="353"/>
      <c r="BB57" s="353"/>
      <c r="BC57" s="353"/>
      <c r="BD57" s="353"/>
      <c r="BE57" s="353"/>
      <c r="BF57" s="353"/>
      <c r="BG57" s="353"/>
      <c r="BH57" s="353"/>
      <c r="BI57" s="353"/>
      <c r="BJ57" s="353"/>
      <c r="BK57" s="353"/>
      <c r="BL57" s="353"/>
      <c r="BM57" s="353"/>
      <c r="BN57" s="353"/>
      <c r="BO57" s="353"/>
      <c r="BP57" s="353"/>
      <c r="BQ57" s="353"/>
      <c r="BR57" s="353"/>
      <c r="BS57" s="353"/>
      <c r="BT57" s="353"/>
      <c r="BU57" s="353"/>
      <c r="BV57" s="353"/>
      <c r="BW57" s="353"/>
      <c r="BX57" s="353"/>
      <c r="BY57" s="353"/>
      <c r="BZ57" s="353"/>
      <c r="CA57" s="353"/>
      <c r="CB57" s="353"/>
      <c r="CC57" s="353"/>
      <c r="CD57" s="353"/>
      <c r="CE57" s="353"/>
      <c r="CF57" s="353"/>
      <c r="CG57" s="353"/>
      <c r="CH57" s="353"/>
      <c r="CI57" s="353"/>
      <c r="CJ57" s="353"/>
      <c r="CK57" s="353"/>
      <c r="CL57" s="353"/>
      <c r="CM57" s="353"/>
      <c r="CN57" s="353"/>
      <c r="CO57" s="353"/>
      <c r="CP57" s="353"/>
      <c r="CQ57" s="353"/>
      <c r="CR57" s="353"/>
      <c r="CS57" s="353"/>
      <c r="CT57" s="353"/>
      <c r="CU57" s="353"/>
      <c r="CV57" s="353"/>
      <c r="CW57" s="353"/>
      <c r="CX57" s="353"/>
      <c r="CY57" s="353"/>
      <c r="CZ57" s="353"/>
      <c r="DA57" s="353"/>
      <c r="DB57" s="353"/>
      <c r="DC57" s="353"/>
      <c r="DD57" s="353"/>
      <c r="DE57" s="353"/>
      <c r="DF57" s="353"/>
      <c r="DG57" s="353"/>
      <c r="DH57" s="353"/>
      <c r="DI57" s="353"/>
      <c r="DJ57" s="353"/>
      <c r="DK57" s="353"/>
      <c r="DL57" s="353"/>
      <c r="DM57" s="353"/>
      <c r="DN57" s="353"/>
      <c r="DO57" s="353"/>
      <c r="DP57" s="353"/>
      <c r="DQ57" s="353"/>
      <c r="DR57" s="353"/>
      <c r="DS57" s="353"/>
      <c r="DT57" s="353"/>
      <c r="DU57" s="353"/>
      <c r="DV57" s="353"/>
      <c r="DW57" s="353"/>
      <c r="DX57" s="353"/>
      <c r="DY57" s="353"/>
      <c r="DZ57" s="353"/>
      <c r="EA57" s="353"/>
      <c r="EB57" s="353"/>
      <c r="EC57" s="353"/>
    </row>
    <row r="58" spans="2:133" s="354" customFormat="1" ht="15.75">
      <c r="B58" s="672" t="s">
        <v>410</v>
      </c>
      <c r="C58" s="673"/>
      <c r="D58" s="693">
        <f>D56-C56</f>
        <v>0.1650173037880549</v>
      </c>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3"/>
      <c r="BN58" s="353"/>
      <c r="BO58" s="353"/>
      <c r="BP58" s="353"/>
      <c r="BQ58" s="353"/>
      <c r="BR58" s="353"/>
      <c r="BS58" s="353"/>
      <c r="BT58" s="353"/>
      <c r="BU58" s="353"/>
      <c r="BV58" s="353"/>
      <c r="BW58" s="353"/>
      <c r="BX58" s="353"/>
      <c r="BY58" s="353"/>
      <c r="BZ58" s="353"/>
      <c r="CA58" s="353"/>
      <c r="CB58" s="353"/>
      <c r="CC58" s="353"/>
      <c r="CD58" s="353"/>
      <c r="CE58" s="353"/>
      <c r="CF58" s="353"/>
      <c r="CG58" s="353"/>
      <c r="CH58" s="353"/>
      <c r="CI58" s="353"/>
      <c r="CJ58" s="353"/>
      <c r="CK58" s="353"/>
      <c r="CL58" s="353"/>
      <c r="CM58" s="353"/>
      <c r="CN58" s="353"/>
      <c r="CO58" s="353"/>
      <c r="CP58" s="353"/>
      <c r="CQ58" s="353"/>
      <c r="CR58" s="353"/>
      <c r="CS58" s="353"/>
      <c r="CT58" s="353"/>
      <c r="CU58" s="353"/>
      <c r="CV58" s="353"/>
      <c r="CW58" s="353"/>
      <c r="CX58" s="353"/>
      <c r="CY58" s="353"/>
      <c r="CZ58" s="353"/>
      <c r="DA58" s="353"/>
      <c r="DB58" s="353"/>
      <c r="DC58" s="353"/>
      <c r="DD58" s="353"/>
      <c r="DE58" s="353"/>
      <c r="DF58" s="353"/>
      <c r="DG58" s="353"/>
      <c r="DH58" s="353"/>
      <c r="DI58" s="353"/>
      <c r="DJ58" s="353"/>
      <c r="DK58" s="353"/>
      <c r="DL58" s="353"/>
      <c r="DM58" s="353"/>
      <c r="DN58" s="353"/>
      <c r="DO58" s="353"/>
      <c r="DP58" s="353"/>
      <c r="DQ58" s="353"/>
      <c r="DR58" s="353"/>
      <c r="DS58" s="353"/>
      <c r="DT58" s="353"/>
      <c r="DU58" s="353"/>
      <c r="DV58" s="353"/>
      <c r="DW58" s="353"/>
      <c r="DX58" s="353"/>
      <c r="DY58" s="353"/>
      <c r="DZ58" s="353"/>
      <c r="EA58" s="353"/>
      <c r="EB58" s="353"/>
      <c r="EC58" s="353"/>
    </row>
    <row r="59" spans="2:133" s="354" customFormat="1" ht="15.75">
      <c r="B59" s="672" t="s">
        <v>412</v>
      </c>
      <c r="C59" s="673"/>
      <c r="D59" s="812">
        <f>D5</f>
        <v>0.7</v>
      </c>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3"/>
      <c r="BF59" s="353"/>
      <c r="BG59" s="353"/>
      <c r="BH59" s="353"/>
      <c r="BI59" s="353"/>
      <c r="BJ59" s="353"/>
      <c r="BK59" s="353"/>
      <c r="BL59" s="353"/>
      <c r="BM59" s="353"/>
      <c r="BN59" s="353"/>
      <c r="BO59" s="353"/>
      <c r="BP59" s="353"/>
      <c r="BQ59" s="353"/>
      <c r="BR59" s="353"/>
      <c r="BS59" s="353"/>
      <c r="BT59" s="353"/>
      <c r="BU59" s="353"/>
      <c r="BV59" s="353"/>
      <c r="BW59" s="353"/>
      <c r="BX59" s="353"/>
      <c r="BY59" s="353"/>
      <c r="BZ59" s="353"/>
      <c r="CA59" s="353"/>
      <c r="CB59" s="353"/>
      <c r="CC59" s="353"/>
      <c r="CD59" s="353"/>
      <c r="CE59" s="353"/>
      <c r="CF59" s="353"/>
      <c r="CG59" s="353"/>
      <c r="CH59" s="353"/>
      <c r="CI59" s="353"/>
      <c r="CJ59" s="353"/>
      <c r="CK59" s="353"/>
      <c r="CL59" s="353"/>
      <c r="CM59" s="353"/>
      <c r="CN59" s="353"/>
      <c r="CO59" s="353"/>
      <c r="CP59" s="353"/>
      <c r="CQ59" s="353"/>
      <c r="CR59" s="353"/>
      <c r="CS59" s="353"/>
      <c r="CT59" s="353"/>
      <c r="CU59" s="353"/>
      <c r="CV59" s="353"/>
      <c r="CW59" s="353"/>
      <c r="CX59" s="353"/>
      <c r="CY59" s="353"/>
      <c r="CZ59" s="353"/>
      <c r="DA59" s="353"/>
      <c r="DB59" s="353"/>
      <c r="DC59" s="353"/>
      <c r="DD59" s="353"/>
      <c r="DE59" s="353"/>
      <c r="DF59" s="353"/>
      <c r="DG59" s="353"/>
      <c r="DH59" s="353"/>
      <c r="DI59" s="353"/>
      <c r="DJ59" s="353"/>
      <c r="DK59" s="353"/>
      <c r="DL59" s="353"/>
      <c r="DM59" s="353"/>
      <c r="DN59" s="353"/>
      <c r="DO59" s="353"/>
      <c r="DP59" s="353"/>
      <c r="DQ59" s="353"/>
      <c r="DR59" s="353"/>
      <c r="DS59" s="353"/>
      <c r="DT59" s="353"/>
      <c r="DU59" s="353"/>
      <c r="DV59" s="353"/>
      <c r="DW59" s="353"/>
      <c r="DX59" s="353"/>
      <c r="DY59" s="353"/>
      <c r="DZ59" s="353"/>
      <c r="EA59" s="353"/>
      <c r="EB59" s="353"/>
      <c r="EC59" s="353"/>
    </row>
    <row r="60" spans="2:133" s="354" customFormat="1" ht="15.75">
      <c r="B60" s="674" t="s">
        <v>413</v>
      </c>
      <c r="C60" s="810"/>
      <c r="D60" s="813">
        <f>D59*D58</f>
        <v>0.11551211265163842</v>
      </c>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353"/>
      <c r="BK60" s="353"/>
      <c r="BL60" s="353"/>
      <c r="BM60" s="353"/>
      <c r="BN60" s="353"/>
      <c r="BO60" s="353"/>
      <c r="BP60" s="353"/>
      <c r="BQ60" s="353"/>
      <c r="BR60" s="353"/>
      <c r="BS60" s="353"/>
      <c r="BT60" s="353"/>
      <c r="BU60" s="353"/>
      <c r="BV60" s="353"/>
      <c r="BW60" s="353"/>
      <c r="BX60" s="353"/>
      <c r="BY60" s="353"/>
      <c r="BZ60" s="353"/>
      <c r="CA60" s="353"/>
      <c r="CB60" s="353"/>
      <c r="CC60" s="353"/>
      <c r="CD60" s="353"/>
      <c r="CE60" s="353"/>
      <c r="CF60" s="353"/>
      <c r="CG60" s="353"/>
      <c r="CH60" s="353"/>
      <c r="CI60" s="353"/>
      <c r="CJ60" s="353"/>
      <c r="CK60" s="353"/>
      <c r="CL60" s="353"/>
      <c r="CM60" s="353"/>
      <c r="CN60" s="353"/>
      <c r="CO60" s="353"/>
      <c r="CP60" s="353"/>
      <c r="CQ60" s="353"/>
      <c r="CR60" s="353"/>
      <c r="CS60" s="353"/>
      <c r="CT60" s="353"/>
      <c r="CU60" s="353"/>
      <c r="CV60" s="353"/>
      <c r="CW60" s="353"/>
      <c r="CX60" s="353"/>
      <c r="CY60" s="353"/>
      <c r="CZ60" s="353"/>
      <c r="DA60" s="353"/>
      <c r="DB60" s="353"/>
      <c r="DC60" s="353"/>
      <c r="DD60" s="353"/>
      <c r="DE60" s="353"/>
      <c r="DF60" s="353"/>
      <c r="DG60" s="353"/>
      <c r="DH60" s="353"/>
      <c r="DI60" s="353"/>
      <c r="DJ60" s="353"/>
      <c r="DK60" s="353"/>
      <c r="DL60" s="353"/>
      <c r="DM60" s="353"/>
      <c r="DN60" s="353"/>
      <c r="DO60" s="353"/>
      <c r="DP60" s="353"/>
      <c r="DQ60" s="353"/>
      <c r="DR60" s="353"/>
      <c r="DS60" s="353"/>
      <c r="DT60" s="353"/>
      <c r="DU60" s="353"/>
      <c r="DV60" s="353"/>
      <c r="DW60" s="353"/>
      <c r="DX60" s="353"/>
      <c r="DY60" s="353"/>
      <c r="DZ60" s="353"/>
      <c r="EA60" s="353"/>
      <c r="EB60" s="353"/>
      <c r="EC60" s="353"/>
    </row>
    <row r="61" spans="2:133" s="354" customFormat="1" ht="15.75">
      <c r="B61" s="671"/>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53"/>
      <c r="BJ61" s="353"/>
      <c r="BK61" s="353"/>
      <c r="BL61" s="353"/>
      <c r="BM61" s="353"/>
      <c r="BN61" s="353"/>
      <c r="BO61" s="353"/>
      <c r="BP61" s="353"/>
      <c r="BQ61" s="353"/>
      <c r="BR61" s="353"/>
      <c r="BS61" s="353"/>
      <c r="BT61" s="353"/>
      <c r="BU61" s="353"/>
      <c r="BV61" s="353"/>
      <c r="BW61" s="353"/>
      <c r="BX61" s="353"/>
      <c r="BY61" s="353"/>
      <c r="BZ61" s="353"/>
      <c r="CA61" s="353"/>
      <c r="CB61" s="353"/>
      <c r="CC61" s="353"/>
      <c r="CD61" s="353"/>
      <c r="CE61" s="353"/>
      <c r="CF61" s="353"/>
      <c r="CG61" s="353"/>
      <c r="CH61" s="353"/>
      <c r="CI61" s="353"/>
      <c r="CJ61" s="353"/>
      <c r="CK61" s="353"/>
      <c r="CL61" s="353"/>
      <c r="CM61" s="353"/>
      <c r="CN61" s="353"/>
      <c r="CO61" s="353"/>
      <c r="CP61" s="353"/>
      <c r="CQ61" s="353"/>
      <c r="CR61" s="353"/>
      <c r="CS61" s="353"/>
      <c r="CT61" s="353"/>
      <c r="CU61" s="353"/>
      <c r="CV61" s="353"/>
      <c r="CW61" s="353"/>
      <c r="CX61" s="353"/>
      <c r="CY61" s="353"/>
      <c r="CZ61" s="353"/>
      <c r="DA61" s="353"/>
      <c r="DB61" s="353"/>
      <c r="DC61" s="353"/>
      <c r="DD61" s="353"/>
      <c r="DE61" s="353"/>
      <c r="DF61" s="353"/>
      <c r="DG61" s="353"/>
      <c r="DH61" s="353"/>
      <c r="DI61" s="353"/>
      <c r="DJ61" s="353"/>
      <c r="DK61" s="353"/>
      <c r="DL61" s="353"/>
      <c r="DM61" s="353"/>
      <c r="DN61" s="353"/>
      <c r="DO61" s="353"/>
      <c r="DP61" s="353"/>
      <c r="DQ61" s="353"/>
      <c r="DR61" s="353"/>
      <c r="DS61" s="353"/>
      <c r="DT61" s="353"/>
      <c r="DU61" s="353"/>
      <c r="DV61" s="353"/>
      <c r="DW61" s="353"/>
      <c r="DX61" s="353"/>
      <c r="DY61" s="353"/>
      <c r="DZ61" s="353"/>
      <c r="EA61" s="353"/>
      <c r="EB61" s="353"/>
      <c r="EC61" s="353"/>
    </row>
    <row r="62" spans="2:133" s="354" customFormat="1" ht="37.5">
      <c r="B62" s="805" t="s">
        <v>414</v>
      </c>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353"/>
      <c r="DF62" s="353"/>
      <c r="DG62" s="353"/>
      <c r="DH62" s="353"/>
      <c r="DI62" s="353"/>
      <c r="DJ62" s="353"/>
      <c r="DK62" s="353"/>
      <c r="DL62" s="353"/>
      <c r="DM62" s="353"/>
      <c r="DN62" s="353"/>
      <c r="DO62" s="353"/>
      <c r="DP62" s="353"/>
      <c r="DQ62" s="353"/>
      <c r="DR62" s="353"/>
      <c r="DS62" s="353"/>
      <c r="DT62" s="353"/>
      <c r="DU62" s="353"/>
      <c r="DV62" s="353"/>
      <c r="DW62" s="353"/>
      <c r="DX62" s="353"/>
      <c r="DY62" s="353"/>
      <c r="DZ62" s="353"/>
      <c r="EA62" s="353"/>
      <c r="EB62" s="353"/>
      <c r="EC62" s="353"/>
    </row>
    <row r="63" spans="2:133" s="354" customFormat="1" ht="15.75">
      <c r="B63" s="672"/>
      <c r="C63" s="809" t="s">
        <v>416</v>
      </c>
      <c r="D63" s="809" t="s">
        <v>417</v>
      </c>
      <c r="F63" s="353"/>
      <c r="G63" s="353"/>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353"/>
      <c r="BF63" s="353"/>
      <c r="BG63" s="353"/>
      <c r="BH63" s="353"/>
      <c r="BI63" s="353"/>
      <c r="BJ63" s="353"/>
      <c r="BK63" s="353"/>
      <c r="BL63" s="353"/>
      <c r="BM63" s="353"/>
      <c r="BN63" s="353"/>
      <c r="BO63" s="353"/>
      <c r="BP63" s="353"/>
      <c r="BQ63" s="353"/>
      <c r="BR63" s="353"/>
      <c r="BS63" s="353"/>
      <c r="BT63" s="353"/>
      <c r="BU63" s="353"/>
      <c r="BV63" s="353"/>
      <c r="BW63" s="353"/>
      <c r="BX63" s="353"/>
      <c r="BY63" s="353"/>
      <c r="BZ63" s="353"/>
      <c r="CA63" s="353"/>
      <c r="CB63" s="353"/>
      <c r="CC63" s="353"/>
      <c r="CD63" s="353"/>
      <c r="CE63" s="353"/>
      <c r="CF63" s="353"/>
      <c r="CG63" s="353"/>
      <c r="CH63" s="353"/>
      <c r="CI63" s="353"/>
      <c r="CJ63" s="353"/>
      <c r="CK63" s="353"/>
      <c r="CL63" s="353"/>
      <c r="CM63" s="353"/>
      <c r="CN63" s="353"/>
      <c r="CO63" s="353"/>
      <c r="CP63" s="353"/>
      <c r="CQ63" s="353"/>
      <c r="CR63" s="353"/>
      <c r="CS63" s="353"/>
      <c r="CT63" s="353"/>
      <c r="CU63" s="353"/>
      <c r="CV63" s="353"/>
      <c r="CW63" s="353"/>
      <c r="CX63" s="353"/>
      <c r="CY63" s="353"/>
      <c r="CZ63" s="353"/>
      <c r="DA63" s="353"/>
      <c r="DB63" s="353"/>
      <c r="DC63" s="353"/>
      <c r="DD63" s="353"/>
      <c r="DE63" s="353"/>
      <c r="DF63" s="353"/>
      <c r="DG63" s="353"/>
      <c r="DH63" s="353"/>
      <c r="DI63" s="353"/>
      <c r="DJ63" s="353"/>
      <c r="DK63" s="353"/>
      <c r="DL63" s="353"/>
      <c r="DM63" s="353"/>
      <c r="DN63" s="353"/>
      <c r="DO63" s="353"/>
      <c r="DP63" s="353"/>
      <c r="DQ63" s="353"/>
      <c r="DR63" s="353"/>
      <c r="DS63" s="353"/>
      <c r="DT63" s="353"/>
      <c r="DU63" s="353"/>
      <c r="DV63" s="353"/>
      <c r="DW63" s="353"/>
      <c r="DX63" s="353"/>
      <c r="DY63" s="353"/>
      <c r="DZ63" s="353"/>
      <c r="EA63" s="353"/>
      <c r="EB63" s="353"/>
      <c r="EC63" s="353"/>
    </row>
    <row r="64" spans="2:133" s="354" customFormat="1" ht="63">
      <c r="B64" s="672" t="s">
        <v>415</v>
      </c>
      <c r="C64" s="673">
        <v>0.38</v>
      </c>
      <c r="D64" s="673">
        <v>0.66</v>
      </c>
      <c r="E64" s="676" t="s">
        <v>419</v>
      </c>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c r="BB64" s="353"/>
      <c r="BC64" s="353"/>
      <c r="BD64" s="353"/>
      <c r="BE64" s="353"/>
      <c r="BF64" s="353"/>
      <c r="BG64" s="353"/>
      <c r="BH64" s="353"/>
      <c r="BI64" s="353"/>
      <c r="BJ64" s="353"/>
      <c r="BK64" s="353"/>
      <c r="BL64" s="353"/>
      <c r="BM64" s="353"/>
      <c r="BN64" s="353"/>
      <c r="BO64" s="353"/>
      <c r="BP64" s="353"/>
      <c r="BQ64" s="353"/>
      <c r="BR64" s="353"/>
      <c r="BS64" s="353"/>
      <c r="BT64" s="353"/>
      <c r="BU64" s="353"/>
      <c r="BV64" s="353"/>
      <c r="BW64" s="353"/>
      <c r="BX64" s="353"/>
      <c r="BY64" s="353"/>
      <c r="BZ64" s="353"/>
      <c r="CA64" s="353"/>
      <c r="CB64" s="353"/>
      <c r="CC64" s="353"/>
      <c r="CD64" s="353"/>
      <c r="CE64" s="353"/>
      <c r="CF64" s="353"/>
      <c r="CG64" s="353"/>
      <c r="CH64" s="353"/>
      <c r="CI64" s="353"/>
      <c r="CJ64" s="353"/>
      <c r="CK64" s="353"/>
      <c r="CL64" s="353"/>
      <c r="CM64" s="353"/>
      <c r="CN64" s="353"/>
      <c r="CO64" s="353"/>
      <c r="CP64" s="353"/>
      <c r="CQ64" s="353"/>
      <c r="CR64" s="353"/>
      <c r="CS64" s="353"/>
      <c r="CT64" s="353"/>
      <c r="CU64" s="353"/>
      <c r="CV64" s="353"/>
      <c r="CW64" s="353"/>
      <c r="CX64" s="353"/>
      <c r="CY64" s="353"/>
      <c r="CZ64" s="353"/>
      <c r="DA64" s="353"/>
      <c r="DB64" s="353"/>
      <c r="DC64" s="353"/>
      <c r="DD64" s="353"/>
      <c r="DE64" s="353"/>
      <c r="DF64" s="353"/>
      <c r="DG64" s="353"/>
      <c r="DH64" s="353"/>
      <c r="DI64" s="353"/>
      <c r="DJ64" s="353"/>
      <c r="DK64" s="353"/>
      <c r="DL64" s="353"/>
      <c r="DM64" s="353"/>
      <c r="DN64" s="353"/>
      <c r="DO64" s="353"/>
      <c r="DP64" s="353"/>
      <c r="DQ64" s="353"/>
      <c r="DR64" s="353"/>
      <c r="DS64" s="353"/>
      <c r="DT64" s="353"/>
      <c r="DU64" s="353"/>
      <c r="DV64" s="353"/>
      <c r="DW64" s="353"/>
      <c r="DX64" s="353"/>
      <c r="DY64" s="353"/>
      <c r="DZ64" s="353"/>
      <c r="EA64" s="353"/>
      <c r="EB64" s="353"/>
      <c r="EC64" s="353"/>
    </row>
    <row r="65" spans="2:133" s="354" customFormat="1" ht="15.75">
      <c r="B65" s="672" t="s">
        <v>418</v>
      </c>
      <c r="C65" s="830">
        <f>(C37/C28-1)*100</f>
        <v>0.2750288396467626</v>
      </c>
      <c r="D65" s="830">
        <f>C65</f>
        <v>0.2750288396467626</v>
      </c>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3"/>
      <c r="BD65" s="353"/>
      <c r="BE65" s="353"/>
      <c r="BF65" s="353"/>
      <c r="BG65" s="353"/>
      <c r="BH65" s="353"/>
      <c r="BI65" s="353"/>
      <c r="BJ65" s="353"/>
      <c r="BK65" s="353"/>
      <c r="BL65" s="353"/>
      <c r="BM65" s="353"/>
      <c r="BN65" s="353"/>
      <c r="BO65" s="353"/>
      <c r="BP65" s="353"/>
      <c r="BQ65" s="353"/>
      <c r="BR65" s="353"/>
      <c r="BS65" s="353"/>
      <c r="BT65" s="353"/>
      <c r="BU65" s="353"/>
      <c r="BV65" s="353"/>
      <c r="BW65" s="353"/>
      <c r="BX65" s="353"/>
      <c r="BY65" s="353"/>
      <c r="BZ65" s="353"/>
      <c r="CA65" s="353"/>
      <c r="CB65" s="353"/>
      <c r="CC65" s="353"/>
      <c r="CD65" s="353"/>
      <c r="CE65" s="353"/>
      <c r="CF65" s="353"/>
      <c r="CG65" s="353"/>
      <c r="CH65" s="353"/>
      <c r="CI65" s="353"/>
      <c r="CJ65" s="353"/>
      <c r="CK65" s="353"/>
      <c r="CL65" s="353"/>
      <c r="CM65" s="353"/>
      <c r="CN65" s="353"/>
      <c r="CO65" s="353"/>
      <c r="CP65" s="353"/>
      <c r="CQ65" s="353"/>
      <c r="CR65" s="353"/>
      <c r="CS65" s="353"/>
      <c r="CT65" s="353"/>
      <c r="CU65" s="353"/>
      <c r="CV65" s="353"/>
      <c r="CW65" s="353"/>
      <c r="CX65" s="353"/>
      <c r="CY65" s="353"/>
      <c r="CZ65" s="353"/>
      <c r="DA65" s="353"/>
      <c r="DB65" s="353"/>
      <c r="DC65" s="353"/>
      <c r="DD65" s="353"/>
      <c r="DE65" s="353"/>
      <c r="DF65" s="353"/>
      <c r="DG65" s="353"/>
      <c r="DH65" s="353"/>
      <c r="DI65" s="353"/>
      <c r="DJ65" s="353"/>
      <c r="DK65" s="353"/>
      <c r="DL65" s="353"/>
      <c r="DM65" s="353"/>
      <c r="DN65" s="353"/>
      <c r="DO65" s="353"/>
      <c r="DP65" s="353"/>
      <c r="DQ65" s="353"/>
      <c r="DR65" s="353"/>
      <c r="DS65" s="353"/>
      <c r="DT65" s="353"/>
      <c r="DU65" s="353"/>
      <c r="DV65" s="353"/>
      <c r="DW65" s="353"/>
      <c r="DX65" s="353"/>
      <c r="DY65" s="353"/>
      <c r="DZ65" s="353"/>
      <c r="EA65" s="353"/>
      <c r="EB65" s="353"/>
      <c r="EC65" s="353"/>
    </row>
    <row r="66" spans="2:133" s="354" customFormat="1" ht="15.75">
      <c r="B66" s="672" t="s">
        <v>420</v>
      </c>
      <c r="C66" s="693">
        <f>C65*C64</f>
        <v>0.10451095906576979</v>
      </c>
      <c r="D66" s="693">
        <f>D65*D64</f>
        <v>0.18151903416686332</v>
      </c>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c r="BB66" s="353"/>
      <c r="BC66" s="353"/>
      <c r="BD66" s="353"/>
      <c r="BE66" s="353"/>
      <c r="BF66" s="353"/>
      <c r="BG66" s="353"/>
      <c r="BH66" s="353"/>
      <c r="BI66" s="353"/>
      <c r="BJ66" s="353"/>
      <c r="BK66" s="353"/>
      <c r="BL66" s="353"/>
      <c r="BM66" s="353"/>
      <c r="BN66" s="353"/>
      <c r="BO66" s="353"/>
      <c r="BP66" s="353"/>
      <c r="BQ66" s="353"/>
      <c r="BR66" s="353"/>
      <c r="BS66" s="353"/>
      <c r="BT66" s="353"/>
      <c r="BU66" s="353"/>
      <c r="BV66" s="353"/>
      <c r="BW66" s="353"/>
      <c r="BX66" s="353"/>
      <c r="BY66" s="353"/>
      <c r="BZ66" s="353"/>
      <c r="CA66" s="353"/>
      <c r="CB66" s="353"/>
      <c r="CC66" s="353"/>
      <c r="CD66" s="353"/>
      <c r="CE66" s="353"/>
      <c r="CF66" s="353"/>
      <c r="CG66" s="353"/>
      <c r="CH66" s="353"/>
      <c r="CI66" s="353"/>
      <c r="CJ66" s="353"/>
      <c r="CK66" s="353"/>
      <c r="CL66" s="353"/>
      <c r="CM66" s="353"/>
      <c r="CN66" s="353"/>
      <c r="CO66" s="353"/>
      <c r="CP66" s="353"/>
      <c r="CQ66" s="353"/>
      <c r="CR66" s="353"/>
      <c r="CS66" s="353"/>
      <c r="CT66" s="353"/>
      <c r="CU66" s="353"/>
      <c r="CV66" s="353"/>
      <c r="CW66" s="353"/>
      <c r="CX66" s="353"/>
      <c r="CY66" s="353"/>
      <c r="CZ66" s="353"/>
      <c r="DA66" s="353"/>
      <c r="DB66" s="353"/>
      <c r="DC66" s="353"/>
      <c r="DD66" s="353"/>
      <c r="DE66" s="353"/>
      <c r="DF66" s="353"/>
      <c r="DG66" s="353"/>
      <c r="DH66" s="353"/>
      <c r="DI66" s="353"/>
      <c r="DJ66" s="353"/>
      <c r="DK66" s="353"/>
      <c r="DL66" s="353"/>
      <c r="DM66" s="353"/>
      <c r="DN66" s="353"/>
      <c r="DO66" s="353"/>
      <c r="DP66" s="353"/>
      <c r="DQ66" s="353"/>
      <c r="DR66" s="353"/>
      <c r="DS66" s="353"/>
      <c r="DT66" s="353"/>
      <c r="DU66" s="353"/>
      <c r="DV66" s="353"/>
      <c r="DW66" s="353"/>
      <c r="DX66" s="353"/>
      <c r="DY66" s="353"/>
      <c r="DZ66" s="353"/>
      <c r="EA66" s="353"/>
      <c r="EB66" s="353"/>
      <c r="EC66" s="353"/>
    </row>
    <row r="67" spans="2:133" s="354" customFormat="1" ht="15.75">
      <c r="B67" s="672" t="s">
        <v>421</v>
      </c>
      <c r="C67" s="830">
        <f>C34*C28*D9</f>
        <v>217.9591836734694</v>
      </c>
      <c r="D67" s="830">
        <f>C67</f>
        <v>217.9591836734694</v>
      </c>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3"/>
      <c r="AZ67" s="353"/>
      <c r="BA67" s="353"/>
      <c r="BB67" s="353"/>
      <c r="BC67" s="353"/>
      <c r="BD67" s="353"/>
      <c r="BE67" s="353"/>
      <c r="BF67" s="353"/>
      <c r="BG67" s="353"/>
      <c r="BH67" s="353"/>
      <c r="BI67" s="353"/>
      <c r="BJ67" s="353"/>
      <c r="BK67" s="353"/>
      <c r="BL67" s="353"/>
      <c r="BM67" s="353"/>
      <c r="BN67" s="353"/>
      <c r="BO67" s="353"/>
      <c r="BP67" s="353"/>
      <c r="BQ67" s="353"/>
      <c r="BR67" s="353"/>
      <c r="BS67" s="353"/>
      <c r="BT67" s="353"/>
      <c r="BU67" s="353"/>
      <c r="BV67" s="353"/>
      <c r="BW67" s="353"/>
      <c r="BX67" s="353"/>
      <c r="BY67" s="353"/>
      <c r="BZ67" s="353"/>
      <c r="CA67" s="353"/>
      <c r="CB67" s="353"/>
      <c r="CC67" s="353"/>
      <c r="CD67" s="353"/>
      <c r="CE67" s="353"/>
      <c r="CF67" s="353"/>
      <c r="CG67" s="353"/>
      <c r="CH67" s="353"/>
      <c r="CI67" s="353"/>
      <c r="CJ67" s="353"/>
      <c r="CK67" s="353"/>
      <c r="CL67" s="353"/>
      <c r="CM67" s="353"/>
      <c r="CN67" s="353"/>
      <c r="CO67" s="353"/>
      <c r="CP67" s="353"/>
      <c r="CQ67" s="353"/>
      <c r="CR67" s="353"/>
      <c r="CS67" s="353"/>
      <c r="CT67" s="353"/>
      <c r="CU67" s="353"/>
      <c r="CV67" s="353"/>
      <c r="CW67" s="353"/>
      <c r="CX67" s="353"/>
      <c r="CY67" s="353"/>
      <c r="CZ67" s="353"/>
      <c r="DA67" s="353"/>
      <c r="DB67" s="353"/>
      <c r="DC67" s="353"/>
      <c r="DD67" s="353"/>
      <c r="DE67" s="353"/>
      <c r="DF67" s="353"/>
      <c r="DG67" s="353"/>
      <c r="DH67" s="353"/>
      <c r="DI67" s="353"/>
      <c r="DJ67" s="353"/>
      <c r="DK67" s="353"/>
      <c r="DL67" s="353"/>
      <c r="DM67" s="353"/>
      <c r="DN67" s="353"/>
      <c r="DO67" s="353"/>
      <c r="DP67" s="353"/>
      <c r="DQ67" s="353"/>
      <c r="DR67" s="353"/>
      <c r="DS67" s="353"/>
      <c r="DT67" s="353"/>
      <c r="DU67" s="353"/>
      <c r="DV67" s="353"/>
      <c r="DW67" s="353"/>
      <c r="DX67" s="353"/>
      <c r="DY67" s="353"/>
      <c r="DZ67" s="353"/>
      <c r="EA67" s="353"/>
      <c r="EB67" s="353"/>
      <c r="EC67" s="353"/>
    </row>
    <row r="68" spans="2:133" s="354" customFormat="1" ht="15.75">
      <c r="B68" s="672" t="s">
        <v>422</v>
      </c>
      <c r="C68" s="830">
        <f>C67*2</f>
        <v>435.9183673469388</v>
      </c>
      <c r="D68" s="830">
        <f>C68</f>
        <v>435.9183673469388</v>
      </c>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c r="AX68" s="353"/>
      <c r="AY68" s="353"/>
      <c r="AZ68" s="353"/>
      <c r="BA68" s="353"/>
      <c r="BB68" s="353"/>
      <c r="BC68" s="353"/>
      <c r="BD68" s="353"/>
      <c r="BE68" s="353"/>
      <c r="BF68" s="353"/>
      <c r="BG68" s="353"/>
      <c r="BH68" s="353"/>
      <c r="BI68" s="353"/>
      <c r="BJ68" s="353"/>
      <c r="BK68" s="353"/>
      <c r="BL68" s="353"/>
      <c r="BM68" s="353"/>
      <c r="BN68" s="353"/>
      <c r="BO68" s="353"/>
      <c r="BP68" s="353"/>
      <c r="BQ68" s="353"/>
      <c r="BR68" s="353"/>
      <c r="BS68" s="353"/>
      <c r="BT68" s="353"/>
      <c r="BU68" s="353"/>
      <c r="BV68" s="353"/>
      <c r="BW68" s="353"/>
      <c r="BX68" s="353"/>
      <c r="BY68" s="353"/>
      <c r="BZ68" s="353"/>
      <c r="CA68" s="353"/>
      <c r="CB68" s="353"/>
      <c r="CC68" s="353"/>
      <c r="CD68" s="353"/>
      <c r="CE68" s="353"/>
      <c r="CF68" s="353"/>
      <c r="CG68" s="353"/>
      <c r="CH68" s="353"/>
      <c r="CI68" s="353"/>
      <c r="CJ68" s="353"/>
      <c r="CK68" s="353"/>
      <c r="CL68" s="353"/>
      <c r="CM68" s="353"/>
      <c r="CN68" s="353"/>
      <c r="CO68" s="353"/>
      <c r="CP68" s="353"/>
      <c r="CQ68" s="353"/>
      <c r="CR68" s="353"/>
      <c r="CS68" s="353"/>
      <c r="CT68" s="353"/>
      <c r="CU68" s="353"/>
      <c r="CV68" s="353"/>
      <c r="CW68" s="353"/>
      <c r="CX68" s="353"/>
      <c r="CY68" s="353"/>
      <c r="CZ68" s="353"/>
      <c r="DA68" s="353"/>
      <c r="DB68" s="353"/>
      <c r="DC68" s="353"/>
      <c r="DD68" s="353"/>
      <c r="DE68" s="353"/>
      <c r="DF68" s="353"/>
      <c r="DG68" s="353"/>
      <c r="DH68" s="353"/>
      <c r="DI68" s="353"/>
      <c r="DJ68" s="353"/>
      <c r="DK68" s="353"/>
      <c r="DL68" s="353"/>
      <c r="DM68" s="353"/>
      <c r="DN68" s="353"/>
      <c r="DO68" s="353"/>
      <c r="DP68" s="353"/>
      <c r="DQ68" s="353"/>
      <c r="DR68" s="353"/>
      <c r="DS68" s="353"/>
      <c r="DT68" s="353"/>
      <c r="DU68" s="353"/>
      <c r="DV68" s="353"/>
      <c r="DW68" s="353"/>
      <c r="DX68" s="353"/>
      <c r="DY68" s="353"/>
      <c r="DZ68" s="353"/>
      <c r="EA68" s="353"/>
      <c r="EB68" s="353"/>
      <c r="EC68" s="353"/>
    </row>
    <row r="69" spans="2:133" s="354" customFormat="1" ht="15.75">
      <c r="B69" s="672" t="s">
        <v>423</v>
      </c>
      <c r="C69" s="683">
        <f>D12</f>
        <v>0.45</v>
      </c>
      <c r="D69" s="683">
        <f>D12</f>
        <v>0.45</v>
      </c>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c r="BB69" s="353"/>
      <c r="BC69" s="353"/>
      <c r="BD69" s="353"/>
      <c r="BE69" s="353"/>
      <c r="BF69" s="353"/>
      <c r="BG69" s="353"/>
      <c r="BH69" s="353"/>
      <c r="BI69" s="353"/>
      <c r="BJ69" s="353"/>
      <c r="BK69" s="353"/>
      <c r="BL69" s="353"/>
      <c r="BM69" s="353"/>
      <c r="BN69" s="353"/>
      <c r="BO69" s="353"/>
      <c r="BP69" s="353"/>
      <c r="BQ69" s="353"/>
      <c r="BR69" s="353"/>
      <c r="BS69" s="353"/>
      <c r="BT69" s="353"/>
      <c r="BU69" s="353"/>
      <c r="BV69" s="353"/>
      <c r="BW69" s="353"/>
      <c r="BX69" s="353"/>
      <c r="BY69" s="353"/>
      <c r="BZ69" s="353"/>
      <c r="CA69" s="353"/>
      <c r="CB69" s="353"/>
      <c r="CC69" s="353"/>
      <c r="CD69" s="353"/>
      <c r="CE69" s="353"/>
      <c r="CF69" s="353"/>
      <c r="CG69" s="353"/>
      <c r="CH69" s="353"/>
      <c r="CI69" s="353"/>
      <c r="CJ69" s="353"/>
      <c r="CK69" s="353"/>
      <c r="CL69" s="353"/>
      <c r="CM69" s="353"/>
      <c r="CN69" s="353"/>
      <c r="CO69" s="353"/>
      <c r="CP69" s="353"/>
      <c r="CQ69" s="353"/>
      <c r="CR69" s="353"/>
      <c r="CS69" s="353"/>
      <c r="CT69" s="353"/>
      <c r="CU69" s="353"/>
      <c r="CV69" s="353"/>
      <c r="CW69" s="353"/>
      <c r="CX69" s="353"/>
      <c r="CY69" s="353"/>
      <c r="CZ69" s="353"/>
      <c r="DA69" s="353"/>
      <c r="DB69" s="353"/>
      <c r="DC69" s="353"/>
      <c r="DD69" s="353"/>
      <c r="DE69" s="353"/>
      <c r="DF69" s="353"/>
      <c r="DG69" s="353"/>
      <c r="DH69" s="353"/>
      <c r="DI69" s="353"/>
      <c r="DJ69" s="353"/>
      <c r="DK69" s="353"/>
      <c r="DL69" s="353"/>
      <c r="DM69" s="353"/>
      <c r="DN69" s="353"/>
      <c r="DO69" s="353"/>
      <c r="DP69" s="353"/>
      <c r="DQ69" s="353"/>
      <c r="DR69" s="353"/>
      <c r="DS69" s="353"/>
      <c r="DT69" s="353"/>
      <c r="DU69" s="353"/>
      <c r="DV69" s="353"/>
      <c r="DW69" s="353"/>
      <c r="DX69" s="353"/>
      <c r="DY69" s="353"/>
      <c r="DZ69" s="353"/>
      <c r="EA69" s="353"/>
      <c r="EB69" s="353"/>
      <c r="EC69" s="353"/>
    </row>
    <row r="70" spans="2:133" s="354" customFormat="1" ht="15.75">
      <c r="B70" s="672" t="s">
        <v>110</v>
      </c>
      <c r="C70" s="693">
        <f>C69*C67</f>
        <v>98.08163265306123</v>
      </c>
      <c r="D70" s="693">
        <f>C70</f>
        <v>98.08163265306123</v>
      </c>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3"/>
      <c r="AY70" s="353"/>
      <c r="AZ70" s="353"/>
      <c r="BA70" s="353"/>
      <c r="BB70" s="353"/>
      <c r="BC70" s="353"/>
      <c r="BD70" s="353"/>
      <c r="BE70" s="353"/>
      <c r="BF70" s="353"/>
      <c r="BG70" s="353"/>
      <c r="BH70" s="353"/>
      <c r="BI70" s="353"/>
      <c r="BJ70" s="353"/>
      <c r="BK70" s="353"/>
      <c r="BL70" s="353"/>
      <c r="BM70" s="353"/>
      <c r="BN70" s="353"/>
      <c r="BO70" s="353"/>
      <c r="BP70" s="353"/>
      <c r="BQ70" s="353"/>
      <c r="BR70" s="353"/>
      <c r="BS70" s="353"/>
      <c r="BT70" s="353"/>
      <c r="BU70" s="353"/>
      <c r="BV70" s="353"/>
      <c r="BW70" s="353"/>
      <c r="BX70" s="353"/>
      <c r="BY70" s="353"/>
      <c r="BZ70" s="353"/>
      <c r="CA70" s="353"/>
      <c r="CB70" s="353"/>
      <c r="CC70" s="353"/>
      <c r="CD70" s="353"/>
      <c r="CE70" s="353"/>
      <c r="CF70" s="353"/>
      <c r="CG70" s="353"/>
      <c r="CH70" s="353"/>
      <c r="CI70" s="353"/>
      <c r="CJ70" s="353"/>
      <c r="CK70" s="353"/>
      <c r="CL70" s="353"/>
      <c r="CM70" s="353"/>
      <c r="CN70" s="353"/>
      <c r="CO70" s="353"/>
      <c r="CP70" s="353"/>
      <c r="CQ70" s="353"/>
      <c r="CR70" s="353"/>
      <c r="CS70" s="353"/>
      <c r="CT70" s="353"/>
      <c r="CU70" s="353"/>
      <c r="CV70" s="353"/>
      <c r="CW70" s="353"/>
      <c r="CX70" s="353"/>
      <c r="CY70" s="353"/>
      <c r="CZ70" s="353"/>
      <c r="DA70" s="353"/>
      <c r="DB70" s="353"/>
      <c r="DC70" s="353"/>
      <c r="DD70" s="353"/>
      <c r="DE70" s="353"/>
      <c r="DF70" s="353"/>
      <c r="DG70" s="353"/>
      <c r="DH70" s="353"/>
      <c r="DI70" s="353"/>
      <c r="DJ70" s="353"/>
      <c r="DK70" s="353"/>
      <c r="DL70" s="353"/>
      <c r="DM70" s="353"/>
      <c r="DN70" s="353"/>
      <c r="DO70" s="353"/>
      <c r="DP70" s="353"/>
      <c r="DQ70" s="353"/>
      <c r="DR70" s="353"/>
      <c r="DS70" s="353"/>
      <c r="DT70" s="353"/>
      <c r="DU70" s="353"/>
      <c r="DV70" s="353"/>
      <c r="DW70" s="353"/>
      <c r="DX70" s="353"/>
      <c r="DY70" s="353"/>
      <c r="DZ70" s="353"/>
      <c r="EA70" s="353"/>
      <c r="EB70" s="353"/>
      <c r="EC70" s="353"/>
    </row>
    <row r="71" spans="2:133" s="354" customFormat="1" ht="31.5">
      <c r="B71" s="672" t="s">
        <v>111</v>
      </c>
      <c r="C71" s="693">
        <f>C70*C66/100</f>
        <v>0.10250605495307953</v>
      </c>
      <c r="D71" s="693">
        <f>D70*D66/100</f>
        <v>0.17803683228692757</v>
      </c>
      <c r="F71" s="353"/>
      <c r="G71" s="353"/>
      <c r="H71" s="353"/>
      <c r="I71" s="353"/>
      <c r="J71" s="353"/>
      <c r="K71" s="353"/>
      <c r="L71" s="353"/>
      <c r="M71" s="353"/>
      <c r="N71" s="353"/>
      <c r="O71" s="353"/>
      <c r="P71" s="353"/>
      <c r="Q71" s="353"/>
      <c r="R71" s="353"/>
      <c r="S71" s="353"/>
      <c r="T71" s="353"/>
      <c r="U71" s="353"/>
      <c r="V71" s="353"/>
      <c r="W71" s="353"/>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53"/>
      <c r="AU71" s="353"/>
      <c r="AV71" s="353"/>
      <c r="AW71" s="353"/>
      <c r="AX71" s="353"/>
      <c r="AY71" s="353"/>
      <c r="AZ71" s="353"/>
      <c r="BA71" s="353"/>
      <c r="BB71" s="353"/>
      <c r="BC71" s="353"/>
      <c r="BD71" s="353"/>
      <c r="BE71" s="353"/>
      <c r="BF71" s="353"/>
      <c r="BG71" s="353"/>
      <c r="BH71" s="353"/>
      <c r="BI71" s="353"/>
      <c r="BJ71" s="353"/>
      <c r="BK71" s="353"/>
      <c r="BL71" s="353"/>
      <c r="BM71" s="353"/>
      <c r="BN71" s="353"/>
      <c r="BO71" s="353"/>
      <c r="BP71" s="353"/>
      <c r="BQ71" s="353"/>
      <c r="BR71" s="353"/>
      <c r="BS71" s="353"/>
      <c r="BT71" s="353"/>
      <c r="BU71" s="353"/>
      <c r="BV71" s="353"/>
      <c r="BW71" s="353"/>
      <c r="BX71" s="353"/>
      <c r="BY71" s="353"/>
      <c r="BZ71" s="353"/>
      <c r="CA71" s="353"/>
      <c r="CB71" s="353"/>
      <c r="CC71" s="353"/>
      <c r="CD71" s="353"/>
      <c r="CE71" s="353"/>
      <c r="CF71" s="353"/>
      <c r="CG71" s="353"/>
      <c r="CH71" s="353"/>
      <c r="CI71" s="353"/>
      <c r="CJ71" s="353"/>
      <c r="CK71" s="353"/>
      <c r="CL71" s="353"/>
      <c r="CM71" s="353"/>
      <c r="CN71" s="353"/>
      <c r="CO71" s="353"/>
      <c r="CP71" s="353"/>
      <c r="CQ71" s="353"/>
      <c r="CR71" s="353"/>
      <c r="CS71" s="353"/>
      <c r="CT71" s="353"/>
      <c r="CU71" s="353"/>
      <c r="CV71" s="353"/>
      <c r="CW71" s="353"/>
      <c r="CX71" s="353"/>
      <c r="CY71" s="353"/>
      <c r="CZ71" s="353"/>
      <c r="DA71" s="353"/>
      <c r="DB71" s="353"/>
      <c r="DC71" s="353"/>
      <c r="DD71" s="353"/>
      <c r="DE71" s="353"/>
      <c r="DF71" s="353"/>
      <c r="DG71" s="353"/>
      <c r="DH71" s="353"/>
      <c r="DI71" s="353"/>
      <c r="DJ71" s="353"/>
      <c r="DK71" s="353"/>
      <c r="DL71" s="353"/>
      <c r="DM71" s="353"/>
      <c r="DN71" s="353"/>
      <c r="DO71" s="353"/>
      <c r="DP71" s="353"/>
      <c r="DQ71" s="353"/>
      <c r="DR71" s="353"/>
      <c r="DS71" s="353"/>
      <c r="DT71" s="353"/>
      <c r="DU71" s="353"/>
      <c r="DV71" s="353"/>
      <c r="DW71" s="353"/>
      <c r="DX71" s="353"/>
      <c r="DY71" s="353"/>
      <c r="DZ71" s="353"/>
      <c r="EA71" s="353"/>
      <c r="EB71" s="353"/>
      <c r="EC71" s="353"/>
    </row>
    <row r="72" spans="2:133" s="354" customFormat="1" ht="15.75">
      <c r="B72" s="672" t="s">
        <v>424</v>
      </c>
      <c r="C72" s="691">
        <f>D11</f>
        <v>1.5</v>
      </c>
      <c r="D72" s="691">
        <f>D11</f>
        <v>1.5</v>
      </c>
      <c r="F72" s="353"/>
      <c r="G72" s="353"/>
      <c r="H72" s="353"/>
      <c r="I72" s="353"/>
      <c r="J72" s="353"/>
      <c r="K72" s="353"/>
      <c r="L72" s="353"/>
      <c r="M72" s="353"/>
      <c r="N72" s="353"/>
      <c r="O72" s="353"/>
      <c r="P72" s="353"/>
      <c r="Q72" s="353"/>
      <c r="R72" s="353"/>
      <c r="S72" s="353"/>
      <c r="T72" s="353"/>
      <c r="U72" s="353"/>
      <c r="V72" s="353"/>
      <c r="W72" s="353"/>
      <c r="X72" s="353"/>
      <c r="Y72" s="353"/>
      <c r="Z72" s="353"/>
      <c r="AA72" s="353"/>
      <c r="AB72" s="353"/>
      <c r="AC72" s="353"/>
      <c r="AD72" s="353"/>
      <c r="AE72" s="353"/>
      <c r="AF72" s="353"/>
      <c r="AG72" s="353"/>
      <c r="AH72" s="353"/>
      <c r="AI72" s="353"/>
      <c r="AJ72" s="353"/>
      <c r="AK72" s="353"/>
      <c r="AL72" s="353"/>
      <c r="AM72" s="353"/>
      <c r="AN72" s="353"/>
      <c r="AO72" s="353"/>
      <c r="AP72" s="353"/>
      <c r="AQ72" s="353"/>
      <c r="AR72" s="353"/>
      <c r="AS72" s="353"/>
      <c r="AT72" s="353"/>
      <c r="AU72" s="353"/>
      <c r="AV72" s="353"/>
      <c r="AW72" s="353"/>
      <c r="AX72" s="353"/>
      <c r="AY72" s="353"/>
      <c r="AZ72" s="353"/>
      <c r="BA72" s="353"/>
      <c r="BB72" s="353"/>
      <c r="BC72" s="353"/>
      <c r="BD72" s="353"/>
      <c r="BE72" s="353"/>
      <c r="BF72" s="353"/>
      <c r="BG72" s="353"/>
      <c r="BH72" s="353"/>
      <c r="BI72" s="353"/>
      <c r="BJ72" s="353"/>
      <c r="BK72" s="353"/>
      <c r="BL72" s="353"/>
      <c r="BM72" s="353"/>
      <c r="BN72" s="353"/>
      <c r="BO72" s="353"/>
      <c r="BP72" s="353"/>
      <c r="BQ72" s="353"/>
      <c r="BR72" s="353"/>
      <c r="BS72" s="353"/>
      <c r="BT72" s="353"/>
      <c r="BU72" s="353"/>
      <c r="BV72" s="353"/>
      <c r="BW72" s="353"/>
      <c r="BX72" s="353"/>
      <c r="BY72" s="353"/>
      <c r="BZ72" s="353"/>
      <c r="CA72" s="353"/>
      <c r="CB72" s="353"/>
      <c r="CC72" s="353"/>
      <c r="CD72" s="353"/>
      <c r="CE72" s="353"/>
      <c r="CF72" s="353"/>
      <c r="CG72" s="353"/>
      <c r="CH72" s="353"/>
      <c r="CI72" s="353"/>
      <c r="CJ72" s="353"/>
      <c r="CK72" s="353"/>
      <c r="CL72" s="353"/>
      <c r="CM72" s="353"/>
      <c r="CN72" s="353"/>
      <c r="CO72" s="353"/>
      <c r="CP72" s="353"/>
      <c r="CQ72" s="353"/>
      <c r="CR72" s="353"/>
      <c r="CS72" s="353"/>
      <c r="CT72" s="353"/>
      <c r="CU72" s="353"/>
      <c r="CV72" s="353"/>
      <c r="CW72" s="353"/>
      <c r="CX72" s="353"/>
      <c r="CY72" s="353"/>
      <c r="CZ72" s="353"/>
      <c r="DA72" s="353"/>
      <c r="DB72" s="353"/>
      <c r="DC72" s="353"/>
      <c r="DD72" s="353"/>
      <c r="DE72" s="353"/>
      <c r="DF72" s="353"/>
      <c r="DG72" s="353"/>
      <c r="DH72" s="353"/>
      <c r="DI72" s="353"/>
      <c r="DJ72" s="353"/>
      <c r="DK72" s="353"/>
      <c r="DL72" s="353"/>
      <c r="DM72" s="353"/>
      <c r="DN72" s="353"/>
      <c r="DO72" s="353"/>
      <c r="DP72" s="353"/>
      <c r="DQ72" s="353"/>
      <c r="DR72" s="353"/>
      <c r="DS72" s="353"/>
      <c r="DT72" s="353"/>
      <c r="DU72" s="353"/>
      <c r="DV72" s="353"/>
      <c r="DW72" s="353"/>
      <c r="DX72" s="353"/>
      <c r="DY72" s="353"/>
      <c r="DZ72" s="353"/>
      <c r="EA72" s="353"/>
      <c r="EB72" s="353"/>
      <c r="EC72" s="353"/>
    </row>
    <row r="73" spans="2:133" s="354" customFormat="1" ht="15.75">
      <c r="B73" s="674" t="s">
        <v>425</v>
      </c>
      <c r="C73" s="814">
        <f>C72*C71</f>
        <v>0.1537590824296193</v>
      </c>
      <c r="D73" s="814">
        <f>D72*D71</f>
        <v>0.26705524843039136</v>
      </c>
      <c r="F73" s="353"/>
      <c r="G73" s="353"/>
      <c r="H73" s="353"/>
      <c r="I73" s="353"/>
      <c r="J73" s="353"/>
      <c r="K73" s="353"/>
      <c r="L73" s="353"/>
      <c r="M73" s="353"/>
      <c r="N73" s="353"/>
      <c r="O73" s="353"/>
      <c r="P73" s="353"/>
      <c r="Q73" s="353"/>
      <c r="R73" s="353"/>
      <c r="S73" s="353"/>
      <c r="T73" s="353"/>
      <c r="U73" s="353"/>
      <c r="V73" s="353"/>
      <c r="W73" s="353"/>
      <c r="X73" s="353"/>
      <c r="Y73" s="353"/>
      <c r="Z73" s="353"/>
      <c r="AA73" s="353"/>
      <c r="AB73" s="353"/>
      <c r="AC73" s="353"/>
      <c r="AD73" s="353"/>
      <c r="AE73" s="353"/>
      <c r="AF73" s="353"/>
      <c r="AG73" s="353"/>
      <c r="AH73" s="353"/>
      <c r="AI73" s="353"/>
      <c r="AJ73" s="353"/>
      <c r="AK73" s="353"/>
      <c r="AL73" s="353"/>
      <c r="AM73" s="353"/>
      <c r="AN73" s="353"/>
      <c r="AO73" s="353"/>
      <c r="AP73" s="353"/>
      <c r="AQ73" s="353"/>
      <c r="AR73" s="353"/>
      <c r="AS73" s="353"/>
      <c r="AT73" s="353"/>
      <c r="AU73" s="353"/>
      <c r="AV73" s="353"/>
      <c r="AW73" s="353"/>
      <c r="AX73" s="353"/>
      <c r="AY73" s="353"/>
      <c r="AZ73" s="353"/>
      <c r="BA73" s="353"/>
      <c r="BB73" s="353"/>
      <c r="BC73" s="353"/>
      <c r="BD73" s="353"/>
      <c r="BE73" s="353"/>
      <c r="BF73" s="353"/>
      <c r="BG73" s="353"/>
      <c r="BH73" s="353"/>
      <c r="BI73" s="353"/>
      <c r="BJ73" s="353"/>
      <c r="BK73" s="353"/>
      <c r="BL73" s="353"/>
      <c r="BM73" s="353"/>
      <c r="BN73" s="353"/>
      <c r="BO73" s="353"/>
      <c r="BP73" s="353"/>
      <c r="BQ73" s="353"/>
      <c r="BR73" s="353"/>
      <c r="BS73" s="353"/>
      <c r="BT73" s="353"/>
      <c r="BU73" s="353"/>
      <c r="BV73" s="353"/>
      <c r="BW73" s="353"/>
      <c r="BX73" s="353"/>
      <c r="BY73" s="353"/>
      <c r="BZ73" s="353"/>
      <c r="CA73" s="353"/>
      <c r="CB73" s="353"/>
      <c r="CC73" s="353"/>
      <c r="CD73" s="353"/>
      <c r="CE73" s="353"/>
      <c r="CF73" s="353"/>
      <c r="CG73" s="353"/>
      <c r="CH73" s="353"/>
      <c r="CI73" s="353"/>
      <c r="CJ73" s="353"/>
      <c r="CK73" s="353"/>
      <c r="CL73" s="353"/>
      <c r="CM73" s="353"/>
      <c r="CN73" s="353"/>
      <c r="CO73" s="353"/>
      <c r="CP73" s="353"/>
      <c r="CQ73" s="353"/>
      <c r="CR73" s="353"/>
      <c r="CS73" s="353"/>
      <c r="CT73" s="353"/>
      <c r="CU73" s="353"/>
      <c r="CV73" s="353"/>
      <c r="CW73" s="353"/>
      <c r="CX73" s="353"/>
      <c r="CY73" s="353"/>
      <c r="CZ73" s="353"/>
      <c r="DA73" s="353"/>
      <c r="DB73" s="353"/>
      <c r="DC73" s="353"/>
      <c r="DD73" s="353"/>
      <c r="DE73" s="353"/>
      <c r="DF73" s="353"/>
      <c r="DG73" s="353"/>
      <c r="DH73" s="353"/>
      <c r="DI73" s="353"/>
      <c r="DJ73" s="353"/>
      <c r="DK73" s="353"/>
      <c r="DL73" s="353"/>
      <c r="DM73" s="353"/>
      <c r="DN73" s="353"/>
      <c r="DO73" s="353"/>
      <c r="DP73" s="353"/>
      <c r="DQ73" s="353"/>
      <c r="DR73" s="353"/>
      <c r="DS73" s="353"/>
      <c r="DT73" s="353"/>
      <c r="DU73" s="353"/>
      <c r="DV73" s="353"/>
      <c r="DW73" s="353"/>
      <c r="DX73" s="353"/>
      <c r="DY73" s="353"/>
      <c r="DZ73" s="353"/>
      <c r="EA73" s="353"/>
      <c r="EB73" s="353"/>
      <c r="EC73" s="353"/>
    </row>
    <row r="74" spans="2:133" s="354" customFormat="1" ht="15.75">
      <c r="B74" s="671"/>
      <c r="C74" s="677"/>
      <c r="D74" s="677"/>
      <c r="F74" s="353"/>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3"/>
      <c r="AI74" s="353"/>
      <c r="AJ74" s="353"/>
      <c r="AK74" s="353"/>
      <c r="AL74" s="353"/>
      <c r="AM74" s="353"/>
      <c r="AN74" s="353"/>
      <c r="AO74" s="353"/>
      <c r="AP74" s="353"/>
      <c r="AQ74" s="353"/>
      <c r="AR74" s="353"/>
      <c r="AS74" s="353"/>
      <c r="AT74" s="353"/>
      <c r="AU74" s="353"/>
      <c r="AV74" s="353"/>
      <c r="AW74" s="353"/>
      <c r="AX74" s="353"/>
      <c r="AY74" s="353"/>
      <c r="AZ74" s="353"/>
      <c r="BA74" s="353"/>
      <c r="BB74" s="353"/>
      <c r="BC74" s="353"/>
      <c r="BD74" s="353"/>
      <c r="BE74" s="353"/>
      <c r="BF74" s="353"/>
      <c r="BG74" s="353"/>
      <c r="BH74" s="353"/>
      <c r="BI74" s="353"/>
      <c r="BJ74" s="353"/>
      <c r="BK74" s="353"/>
      <c r="BL74" s="353"/>
      <c r="BM74" s="353"/>
      <c r="BN74" s="353"/>
      <c r="BO74" s="353"/>
      <c r="BP74" s="353"/>
      <c r="BQ74" s="353"/>
      <c r="BR74" s="353"/>
      <c r="BS74" s="353"/>
      <c r="BT74" s="353"/>
      <c r="BU74" s="353"/>
      <c r="BV74" s="353"/>
      <c r="BW74" s="353"/>
      <c r="BX74" s="353"/>
      <c r="BY74" s="353"/>
      <c r="BZ74" s="353"/>
      <c r="CA74" s="353"/>
      <c r="CB74" s="353"/>
      <c r="CC74" s="353"/>
      <c r="CD74" s="353"/>
      <c r="CE74" s="353"/>
      <c r="CF74" s="353"/>
      <c r="CG74" s="353"/>
      <c r="CH74" s="353"/>
      <c r="CI74" s="353"/>
      <c r="CJ74" s="353"/>
      <c r="CK74" s="353"/>
      <c r="CL74" s="353"/>
      <c r="CM74" s="353"/>
      <c r="CN74" s="353"/>
      <c r="CO74" s="353"/>
      <c r="CP74" s="353"/>
      <c r="CQ74" s="353"/>
      <c r="CR74" s="353"/>
      <c r="CS74" s="353"/>
      <c r="CT74" s="353"/>
      <c r="CU74" s="353"/>
      <c r="CV74" s="353"/>
      <c r="CW74" s="353"/>
      <c r="CX74" s="353"/>
      <c r="CY74" s="353"/>
      <c r="CZ74" s="353"/>
      <c r="DA74" s="353"/>
      <c r="DB74" s="353"/>
      <c r="DC74" s="353"/>
      <c r="DD74" s="353"/>
      <c r="DE74" s="353"/>
      <c r="DF74" s="353"/>
      <c r="DG74" s="353"/>
      <c r="DH74" s="353"/>
      <c r="DI74" s="353"/>
      <c r="DJ74" s="353"/>
      <c r="DK74" s="353"/>
      <c r="DL74" s="353"/>
      <c r="DM74" s="353"/>
      <c r="DN74" s="353"/>
      <c r="DO74" s="353"/>
      <c r="DP74" s="353"/>
      <c r="DQ74" s="353"/>
      <c r="DR74" s="353"/>
      <c r="DS74" s="353"/>
      <c r="DT74" s="353"/>
      <c r="DU74" s="353"/>
      <c r="DV74" s="353"/>
      <c r="DW74" s="353"/>
      <c r="DX74" s="353"/>
      <c r="DY74" s="353"/>
      <c r="DZ74" s="353"/>
      <c r="EA74" s="353"/>
      <c r="EB74" s="353"/>
      <c r="EC74" s="353"/>
    </row>
    <row r="75" spans="2:133" s="354" customFormat="1" ht="37.5">
      <c r="B75" s="805" t="s">
        <v>426</v>
      </c>
      <c r="C75" s="677"/>
      <c r="D75" s="677"/>
      <c r="F75" s="353"/>
      <c r="G75" s="353"/>
      <c r="H75" s="353"/>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3"/>
      <c r="BN75" s="353"/>
      <c r="BO75" s="353"/>
      <c r="BP75" s="353"/>
      <c r="BQ75" s="353"/>
      <c r="BR75" s="353"/>
      <c r="BS75" s="353"/>
      <c r="BT75" s="353"/>
      <c r="BU75" s="353"/>
      <c r="BV75" s="353"/>
      <c r="BW75" s="353"/>
      <c r="BX75" s="353"/>
      <c r="BY75" s="353"/>
      <c r="BZ75" s="353"/>
      <c r="CA75" s="353"/>
      <c r="CB75" s="353"/>
      <c r="CC75" s="353"/>
      <c r="CD75" s="353"/>
      <c r="CE75" s="353"/>
      <c r="CF75" s="353"/>
      <c r="CG75" s="353"/>
      <c r="CH75" s="353"/>
      <c r="CI75" s="353"/>
      <c r="CJ75" s="353"/>
      <c r="CK75" s="353"/>
      <c r="CL75" s="353"/>
      <c r="CM75" s="353"/>
      <c r="CN75" s="353"/>
      <c r="CO75" s="353"/>
      <c r="CP75" s="353"/>
      <c r="CQ75" s="353"/>
      <c r="CR75" s="353"/>
      <c r="CS75" s="353"/>
      <c r="CT75" s="353"/>
      <c r="CU75" s="353"/>
      <c r="CV75" s="353"/>
      <c r="CW75" s="353"/>
      <c r="CX75" s="353"/>
      <c r="CY75" s="353"/>
      <c r="CZ75" s="353"/>
      <c r="DA75" s="353"/>
      <c r="DB75" s="353"/>
      <c r="DC75" s="353"/>
      <c r="DD75" s="353"/>
      <c r="DE75" s="353"/>
      <c r="DF75" s="353"/>
      <c r="DG75" s="353"/>
      <c r="DH75" s="353"/>
      <c r="DI75" s="353"/>
      <c r="DJ75" s="353"/>
      <c r="DK75" s="353"/>
      <c r="DL75" s="353"/>
      <c r="DM75" s="353"/>
      <c r="DN75" s="353"/>
      <c r="DO75" s="353"/>
      <c r="DP75" s="353"/>
      <c r="DQ75" s="353"/>
      <c r="DR75" s="353"/>
      <c r="DS75" s="353"/>
      <c r="DT75" s="353"/>
      <c r="DU75" s="353"/>
      <c r="DV75" s="353"/>
      <c r="DW75" s="353"/>
      <c r="DX75" s="353"/>
      <c r="DY75" s="353"/>
      <c r="DZ75" s="353"/>
      <c r="EA75" s="353"/>
      <c r="EB75" s="353"/>
      <c r="EC75" s="353"/>
    </row>
    <row r="76" spans="2:133" s="354" customFormat="1" ht="15.75">
      <c r="B76" s="672" t="s">
        <v>427</v>
      </c>
      <c r="C76" s="815">
        <f>D14</f>
        <v>0.061</v>
      </c>
      <c r="D76" s="815">
        <f>D14</f>
        <v>0.061</v>
      </c>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c r="AR76" s="353"/>
      <c r="AS76" s="353"/>
      <c r="AT76" s="353"/>
      <c r="AU76" s="353"/>
      <c r="AV76" s="353"/>
      <c r="AW76" s="353"/>
      <c r="AX76" s="353"/>
      <c r="AY76" s="353"/>
      <c r="AZ76" s="353"/>
      <c r="BA76" s="353"/>
      <c r="BB76" s="353"/>
      <c r="BC76" s="353"/>
      <c r="BD76" s="353"/>
      <c r="BE76" s="353"/>
      <c r="BF76" s="353"/>
      <c r="BG76" s="353"/>
      <c r="BH76" s="353"/>
      <c r="BI76" s="353"/>
      <c r="BJ76" s="353"/>
      <c r="BK76" s="353"/>
      <c r="BL76" s="353"/>
      <c r="BM76" s="353"/>
      <c r="BN76" s="353"/>
      <c r="BO76" s="353"/>
      <c r="BP76" s="353"/>
      <c r="BQ76" s="353"/>
      <c r="BR76" s="353"/>
      <c r="BS76" s="353"/>
      <c r="BT76" s="353"/>
      <c r="BU76" s="353"/>
      <c r="BV76" s="353"/>
      <c r="BW76" s="353"/>
      <c r="BX76" s="353"/>
      <c r="BY76" s="353"/>
      <c r="BZ76" s="353"/>
      <c r="CA76" s="353"/>
      <c r="CB76" s="353"/>
      <c r="CC76" s="353"/>
      <c r="CD76" s="353"/>
      <c r="CE76" s="353"/>
      <c r="CF76" s="353"/>
      <c r="CG76" s="353"/>
      <c r="CH76" s="353"/>
      <c r="CI76" s="353"/>
      <c r="CJ76" s="353"/>
      <c r="CK76" s="353"/>
      <c r="CL76" s="353"/>
      <c r="CM76" s="353"/>
      <c r="CN76" s="353"/>
      <c r="CO76" s="353"/>
      <c r="CP76" s="353"/>
      <c r="CQ76" s="353"/>
      <c r="CR76" s="353"/>
      <c r="CS76" s="353"/>
      <c r="CT76" s="353"/>
      <c r="CU76" s="353"/>
      <c r="CV76" s="353"/>
      <c r="CW76" s="353"/>
      <c r="CX76" s="353"/>
      <c r="CY76" s="353"/>
      <c r="CZ76" s="353"/>
      <c r="DA76" s="353"/>
      <c r="DB76" s="353"/>
      <c r="DC76" s="353"/>
      <c r="DD76" s="353"/>
      <c r="DE76" s="353"/>
      <c r="DF76" s="353"/>
      <c r="DG76" s="353"/>
      <c r="DH76" s="353"/>
      <c r="DI76" s="353"/>
      <c r="DJ76" s="353"/>
      <c r="DK76" s="353"/>
      <c r="DL76" s="353"/>
      <c r="DM76" s="353"/>
      <c r="DN76" s="353"/>
      <c r="DO76" s="353"/>
      <c r="DP76" s="353"/>
      <c r="DQ76" s="353"/>
      <c r="DR76" s="353"/>
      <c r="DS76" s="353"/>
      <c r="DT76" s="353"/>
      <c r="DU76" s="353"/>
      <c r="DV76" s="353"/>
      <c r="DW76" s="353"/>
      <c r="DX76" s="353"/>
      <c r="DY76" s="353"/>
      <c r="DZ76" s="353"/>
      <c r="EA76" s="353"/>
      <c r="EB76" s="353"/>
      <c r="EC76" s="353"/>
    </row>
    <row r="77" spans="2:133" s="354" customFormat="1" ht="15.75">
      <c r="B77" s="674" t="s">
        <v>428</v>
      </c>
      <c r="C77" s="814">
        <f>C71*C76</f>
        <v>0.006252869352137851</v>
      </c>
      <c r="D77" s="814">
        <f>D76*D71</f>
        <v>0.010860246769502582</v>
      </c>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c r="BB77" s="353"/>
      <c r="BC77" s="353"/>
      <c r="BD77" s="353"/>
      <c r="BE77" s="353"/>
      <c r="BF77" s="353"/>
      <c r="BG77" s="353"/>
      <c r="BH77" s="353"/>
      <c r="BI77" s="353"/>
      <c r="BJ77" s="353"/>
      <c r="BK77" s="353"/>
      <c r="BL77" s="353"/>
      <c r="BM77" s="353"/>
      <c r="BN77" s="353"/>
      <c r="BO77" s="353"/>
      <c r="BP77" s="353"/>
      <c r="BQ77" s="353"/>
      <c r="BR77" s="353"/>
      <c r="BS77" s="353"/>
      <c r="BT77" s="353"/>
      <c r="BU77" s="353"/>
      <c r="BV77" s="353"/>
      <c r="BW77" s="353"/>
      <c r="BX77" s="353"/>
      <c r="BY77" s="353"/>
      <c r="BZ77" s="353"/>
      <c r="CA77" s="353"/>
      <c r="CB77" s="353"/>
      <c r="CC77" s="353"/>
      <c r="CD77" s="353"/>
      <c r="CE77" s="353"/>
      <c r="CF77" s="353"/>
      <c r="CG77" s="353"/>
      <c r="CH77" s="353"/>
      <c r="CI77" s="353"/>
      <c r="CJ77" s="353"/>
      <c r="CK77" s="353"/>
      <c r="CL77" s="353"/>
      <c r="CM77" s="353"/>
      <c r="CN77" s="353"/>
      <c r="CO77" s="353"/>
      <c r="CP77" s="353"/>
      <c r="CQ77" s="353"/>
      <c r="CR77" s="353"/>
      <c r="CS77" s="353"/>
      <c r="CT77" s="353"/>
      <c r="CU77" s="353"/>
      <c r="CV77" s="353"/>
      <c r="CW77" s="353"/>
      <c r="CX77" s="353"/>
      <c r="CY77" s="353"/>
      <c r="CZ77" s="353"/>
      <c r="DA77" s="353"/>
      <c r="DB77" s="353"/>
      <c r="DC77" s="353"/>
      <c r="DD77" s="353"/>
      <c r="DE77" s="353"/>
      <c r="DF77" s="353"/>
      <c r="DG77" s="353"/>
      <c r="DH77" s="353"/>
      <c r="DI77" s="353"/>
      <c r="DJ77" s="353"/>
      <c r="DK77" s="353"/>
      <c r="DL77" s="353"/>
      <c r="DM77" s="353"/>
      <c r="DN77" s="353"/>
      <c r="DO77" s="353"/>
      <c r="DP77" s="353"/>
      <c r="DQ77" s="353"/>
      <c r="DR77" s="353"/>
      <c r="DS77" s="353"/>
      <c r="DT77" s="353"/>
      <c r="DU77" s="353"/>
      <c r="DV77" s="353"/>
      <c r="DW77" s="353"/>
      <c r="DX77" s="353"/>
      <c r="DY77" s="353"/>
      <c r="DZ77" s="353"/>
      <c r="EA77" s="353"/>
      <c r="EB77" s="353"/>
      <c r="EC77" s="353"/>
    </row>
    <row r="78" spans="2:133" s="354" customFormat="1" ht="15.75">
      <c r="B78" s="822"/>
      <c r="C78" s="823"/>
      <c r="D78" s="823"/>
      <c r="F78" s="353"/>
      <c r="G78" s="353"/>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c r="AL78" s="353"/>
      <c r="AM78" s="353"/>
      <c r="AN78" s="353"/>
      <c r="AO78" s="353"/>
      <c r="AP78" s="353"/>
      <c r="AQ78" s="353"/>
      <c r="AR78" s="353"/>
      <c r="AS78" s="353"/>
      <c r="AT78" s="353"/>
      <c r="AU78" s="353"/>
      <c r="AV78" s="353"/>
      <c r="AW78" s="353"/>
      <c r="AX78" s="353"/>
      <c r="AY78" s="353"/>
      <c r="AZ78" s="353"/>
      <c r="BA78" s="353"/>
      <c r="BB78" s="353"/>
      <c r="BC78" s="353"/>
      <c r="BD78" s="353"/>
      <c r="BE78" s="353"/>
      <c r="BF78" s="353"/>
      <c r="BG78" s="353"/>
      <c r="BH78" s="353"/>
      <c r="BI78" s="353"/>
      <c r="BJ78" s="353"/>
      <c r="BK78" s="353"/>
      <c r="BL78" s="353"/>
      <c r="BM78" s="353"/>
      <c r="BN78" s="353"/>
      <c r="BO78" s="353"/>
      <c r="BP78" s="353"/>
      <c r="BQ78" s="353"/>
      <c r="BR78" s="353"/>
      <c r="BS78" s="353"/>
      <c r="BT78" s="353"/>
      <c r="BU78" s="353"/>
      <c r="BV78" s="353"/>
      <c r="BW78" s="353"/>
      <c r="BX78" s="353"/>
      <c r="BY78" s="353"/>
      <c r="BZ78" s="353"/>
      <c r="CA78" s="353"/>
      <c r="CB78" s="353"/>
      <c r="CC78" s="353"/>
      <c r="CD78" s="353"/>
      <c r="CE78" s="353"/>
      <c r="CF78" s="353"/>
      <c r="CG78" s="353"/>
      <c r="CH78" s="353"/>
      <c r="CI78" s="353"/>
      <c r="CJ78" s="353"/>
      <c r="CK78" s="353"/>
      <c r="CL78" s="353"/>
      <c r="CM78" s="353"/>
      <c r="CN78" s="353"/>
      <c r="CO78" s="353"/>
      <c r="CP78" s="353"/>
      <c r="CQ78" s="353"/>
      <c r="CR78" s="353"/>
      <c r="CS78" s="353"/>
      <c r="CT78" s="353"/>
      <c r="CU78" s="353"/>
      <c r="CV78" s="353"/>
      <c r="CW78" s="353"/>
      <c r="CX78" s="353"/>
      <c r="CY78" s="353"/>
      <c r="CZ78" s="353"/>
      <c r="DA78" s="353"/>
      <c r="DB78" s="353"/>
      <c r="DC78" s="353"/>
      <c r="DD78" s="353"/>
      <c r="DE78" s="353"/>
      <c r="DF78" s="353"/>
      <c r="DG78" s="353"/>
      <c r="DH78" s="353"/>
      <c r="DI78" s="353"/>
      <c r="DJ78" s="353"/>
      <c r="DK78" s="353"/>
      <c r="DL78" s="353"/>
      <c r="DM78" s="353"/>
      <c r="DN78" s="353"/>
      <c r="DO78" s="353"/>
      <c r="DP78" s="353"/>
      <c r="DQ78" s="353"/>
      <c r="DR78" s="353"/>
      <c r="DS78" s="353"/>
      <c r="DT78" s="353"/>
      <c r="DU78" s="353"/>
      <c r="DV78" s="353"/>
      <c r="DW78" s="353"/>
      <c r="DX78" s="353"/>
      <c r="DY78" s="353"/>
      <c r="DZ78" s="353"/>
      <c r="EA78" s="353"/>
      <c r="EB78" s="353"/>
      <c r="EC78" s="353"/>
    </row>
    <row r="79" spans="2:133" s="824" customFormat="1" ht="18.75">
      <c r="B79" s="805" t="s">
        <v>476</v>
      </c>
      <c r="C79" s="825"/>
      <c r="D79" s="825"/>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26"/>
      <c r="BA79" s="826"/>
      <c r="BB79" s="826"/>
      <c r="BC79" s="826"/>
      <c r="BD79" s="826"/>
      <c r="BE79" s="826"/>
      <c r="BF79" s="826"/>
      <c r="BG79" s="826"/>
      <c r="BH79" s="826"/>
      <c r="BI79" s="826"/>
      <c r="BJ79" s="826"/>
      <c r="BK79" s="826"/>
      <c r="BL79" s="826"/>
      <c r="BM79" s="826"/>
      <c r="BN79" s="826"/>
      <c r="BO79" s="826"/>
      <c r="BP79" s="826"/>
      <c r="BQ79" s="826"/>
      <c r="BR79" s="826"/>
      <c r="BS79" s="826"/>
      <c r="BT79" s="826"/>
      <c r="BU79" s="826"/>
      <c r="BV79" s="826"/>
      <c r="BW79" s="826"/>
      <c r="BX79" s="826"/>
      <c r="BY79" s="826"/>
      <c r="BZ79" s="826"/>
      <c r="CA79" s="826"/>
      <c r="CB79" s="826"/>
      <c r="CC79" s="826"/>
      <c r="CD79" s="826"/>
      <c r="CE79" s="826"/>
      <c r="CF79" s="826"/>
      <c r="CG79" s="826"/>
      <c r="CH79" s="826"/>
      <c r="CI79" s="826"/>
      <c r="CJ79" s="826"/>
      <c r="CK79" s="826"/>
      <c r="CL79" s="826"/>
      <c r="CM79" s="826"/>
      <c r="CN79" s="826"/>
      <c r="CO79" s="826"/>
      <c r="CP79" s="826"/>
      <c r="CQ79" s="826"/>
      <c r="CR79" s="826"/>
      <c r="CS79" s="826"/>
      <c r="CT79" s="826"/>
      <c r="CU79" s="826"/>
      <c r="CV79" s="826"/>
      <c r="CW79" s="826"/>
      <c r="CX79" s="826"/>
      <c r="CY79" s="826"/>
      <c r="CZ79" s="826"/>
      <c r="DA79" s="826"/>
      <c r="DB79" s="826"/>
      <c r="DC79" s="826"/>
      <c r="DD79" s="826"/>
      <c r="DE79" s="826"/>
      <c r="DF79" s="826"/>
      <c r="DG79" s="826"/>
      <c r="DH79" s="826"/>
      <c r="DI79" s="826"/>
      <c r="DJ79" s="826"/>
      <c r="DK79" s="826"/>
      <c r="DL79" s="826"/>
      <c r="DM79" s="826"/>
      <c r="DN79" s="826"/>
      <c r="DO79" s="826"/>
      <c r="DP79" s="826"/>
      <c r="DQ79" s="826"/>
      <c r="DR79" s="826"/>
      <c r="DS79" s="826"/>
      <c r="DT79" s="826"/>
      <c r="DU79" s="826"/>
      <c r="DV79" s="826"/>
      <c r="DW79" s="826"/>
      <c r="DX79" s="826"/>
      <c r="DY79" s="826"/>
      <c r="DZ79" s="826"/>
      <c r="EA79" s="826"/>
      <c r="EB79" s="826"/>
      <c r="EC79" s="826"/>
    </row>
    <row r="80" spans="2:133" s="354" customFormat="1" ht="24" customHeight="1">
      <c r="B80" s="674" t="s">
        <v>112</v>
      </c>
      <c r="C80" s="684"/>
      <c r="D80" s="684"/>
      <c r="F80" s="353"/>
      <c r="G80" s="353"/>
      <c r="H80" s="353"/>
      <c r="I80" s="353"/>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353"/>
      <c r="BA80" s="353"/>
      <c r="BB80" s="353"/>
      <c r="BC80" s="353"/>
      <c r="BD80" s="353"/>
      <c r="BE80" s="353"/>
      <c r="BF80" s="353"/>
      <c r="BG80" s="353"/>
      <c r="BH80" s="353"/>
      <c r="BI80" s="353"/>
      <c r="BJ80" s="353"/>
      <c r="BK80" s="353"/>
      <c r="BL80" s="353"/>
      <c r="BM80" s="353"/>
      <c r="BN80" s="353"/>
      <c r="BO80" s="353"/>
      <c r="BP80" s="353"/>
      <c r="BQ80" s="353"/>
      <c r="BR80" s="353"/>
      <c r="BS80" s="353"/>
      <c r="BT80" s="353"/>
      <c r="BU80" s="353"/>
      <c r="BV80" s="353"/>
      <c r="BW80" s="353"/>
      <c r="BX80" s="353"/>
      <c r="BY80" s="353"/>
      <c r="BZ80" s="353"/>
      <c r="CA80" s="353"/>
      <c r="CB80" s="353"/>
      <c r="CC80" s="353"/>
      <c r="CD80" s="353"/>
      <c r="CE80" s="353"/>
      <c r="CF80" s="353"/>
      <c r="CG80" s="353"/>
      <c r="CH80" s="353"/>
      <c r="CI80" s="353"/>
      <c r="CJ80" s="353"/>
      <c r="CK80" s="353"/>
      <c r="CL80" s="353"/>
      <c r="CM80" s="353"/>
      <c r="CN80" s="353"/>
      <c r="CO80" s="353"/>
      <c r="CP80" s="353"/>
      <c r="CQ80" s="353"/>
      <c r="CR80" s="353"/>
      <c r="CS80" s="353"/>
      <c r="CT80" s="353"/>
      <c r="CU80" s="353"/>
      <c r="CV80" s="353"/>
      <c r="CW80" s="353"/>
      <c r="CX80" s="353"/>
      <c r="CY80" s="353"/>
      <c r="CZ80" s="353"/>
      <c r="DA80" s="353"/>
      <c r="DB80" s="353"/>
      <c r="DC80" s="353"/>
      <c r="DD80" s="353"/>
      <c r="DE80" s="353"/>
      <c r="DF80" s="353"/>
      <c r="DG80" s="353"/>
      <c r="DH80" s="353"/>
      <c r="DI80" s="353"/>
      <c r="DJ80" s="353"/>
      <c r="DK80" s="353"/>
      <c r="DL80" s="353"/>
      <c r="DM80" s="353"/>
      <c r="DN80" s="353"/>
      <c r="DO80" s="353"/>
      <c r="DP80" s="353"/>
      <c r="DQ80" s="353"/>
      <c r="DR80" s="353"/>
      <c r="DS80" s="353"/>
      <c r="DT80" s="353"/>
      <c r="DU80" s="353"/>
      <c r="DV80" s="353"/>
      <c r="DW80" s="353"/>
      <c r="DX80" s="353"/>
      <c r="DY80" s="353"/>
      <c r="DZ80" s="353"/>
      <c r="EA80" s="353"/>
      <c r="EB80" s="353"/>
      <c r="EC80" s="353"/>
    </row>
    <row r="81" spans="2:133" s="354" customFormat="1" ht="15.75">
      <c r="B81" s="672" t="s">
        <v>405</v>
      </c>
      <c r="C81" s="684"/>
      <c r="D81" s="684">
        <f>D49</f>
        <v>0.2013513890257923</v>
      </c>
      <c r="F81" s="353"/>
      <c r="G81" s="353"/>
      <c r="H81" s="353"/>
      <c r="I81" s="353"/>
      <c r="J81" s="353"/>
      <c r="K81" s="353"/>
      <c r="L81" s="353"/>
      <c r="M81" s="353"/>
      <c r="N81" s="353"/>
      <c r="O81" s="353"/>
      <c r="P81" s="353"/>
      <c r="Q81" s="353"/>
      <c r="R81" s="353"/>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c r="BB81" s="353"/>
      <c r="BC81" s="353"/>
      <c r="BD81" s="353"/>
      <c r="BE81" s="353"/>
      <c r="BF81" s="353"/>
      <c r="BG81" s="353"/>
      <c r="BH81" s="353"/>
      <c r="BI81" s="353"/>
      <c r="BJ81" s="353"/>
      <c r="BK81" s="353"/>
      <c r="BL81" s="353"/>
      <c r="BM81" s="353"/>
      <c r="BN81" s="353"/>
      <c r="BO81" s="353"/>
      <c r="BP81" s="353"/>
      <c r="BQ81" s="353"/>
      <c r="BR81" s="353"/>
      <c r="BS81" s="353"/>
      <c r="BT81" s="353"/>
      <c r="BU81" s="353"/>
      <c r="BV81" s="353"/>
      <c r="BW81" s="353"/>
      <c r="BX81" s="353"/>
      <c r="BY81" s="353"/>
      <c r="BZ81" s="353"/>
      <c r="CA81" s="353"/>
      <c r="CB81" s="353"/>
      <c r="CC81" s="353"/>
      <c r="CD81" s="353"/>
      <c r="CE81" s="353"/>
      <c r="CF81" s="353"/>
      <c r="CG81" s="353"/>
      <c r="CH81" s="353"/>
      <c r="CI81" s="353"/>
      <c r="CJ81" s="353"/>
      <c r="CK81" s="353"/>
      <c r="CL81" s="353"/>
      <c r="CM81" s="353"/>
      <c r="CN81" s="353"/>
      <c r="CO81" s="353"/>
      <c r="CP81" s="353"/>
      <c r="CQ81" s="353"/>
      <c r="CR81" s="353"/>
      <c r="CS81" s="353"/>
      <c r="CT81" s="353"/>
      <c r="CU81" s="353"/>
      <c r="CV81" s="353"/>
      <c r="CW81" s="353"/>
      <c r="CX81" s="353"/>
      <c r="CY81" s="353"/>
      <c r="CZ81" s="353"/>
      <c r="DA81" s="353"/>
      <c r="DB81" s="353"/>
      <c r="DC81" s="353"/>
      <c r="DD81" s="353"/>
      <c r="DE81" s="353"/>
      <c r="DF81" s="353"/>
      <c r="DG81" s="353"/>
      <c r="DH81" s="353"/>
      <c r="DI81" s="353"/>
      <c r="DJ81" s="353"/>
      <c r="DK81" s="353"/>
      <c r="DL81" s="353"/>
      <c r="DM81" s="353"/>
      <c r="DN81" s="353"/>
      <c r="DO81" s="353"/>
      <c r="DP81" s="353"/>
      <c r="DQ81" s="353"/>
      <c r="DR81" s="353"/>
      <c r="DS81" s="353"/>
      <c r="DT81" s="353"/>
      <c r="DU81" s="353"/>
      <c r="DV81" s="353"/>
      <c r="DW81" s="353"/>
      <c r="DX81" s="353"/>
      <c r="DY81" s="353"/>
      <c r="DZ81" s="353"/>
      <c r="EA81" s="353"/>
      <c r="EB81" s="353"/>
      <c r="EC81" s="353"/>
    </row>
    <row r="82" spans="2:133" s="354" customFormat="1" ht="15.75">
      <c r="B82" s="672" t="s">
        <v>429</v>
      </c>
      <c r="C82" s="684"/>
      <c r="D82" s="684">
        <f>D60</f>
        <v>0.11551211265163842</v>
      </c>
      <c r="F82" s="353"/>
      <c r="G82" s="353"/>
      <c r="H82" s="353"/>
      <c r="I82" s="353"/>
      <c r="J82" s="353"/>
      <c r="K82" s="353"/>
      <c r="L82" s="353"/>
      <c r="M82" s="353"/>
      <c r="N82" s="353"/>
      <c r="O82" s="353"/>
      <c r="P82" s="353"/>
      <c r="Q82" s="353"/>
      <c r="R82" s="353"/>
      <c r="S82" s="353"/>
      <c r="T82" s="353"/>
      <c r="U82" s="353"/>
      <c r="V82" s="353"/>
      <c r="W82" s="353"/>
      <c r="X82" s="353"/>
      <c r="Y82" s="353"/>
      <c r="Z82" s="353"/>
      <c r="AA82" s="353"/>
      <c r="AB82" s="353"/>
      <c r="AC82" s="353"/>
      <c r="AD82" s="353"/>
      <c r="AE82" s="353"/>
      <c r="AF82" s="353"/>
      <c r="AG82" s="353"/>
      <c r="AH82" s="353"/>
      <c r="AI82" s="353"/>
      <c r="AJ82" s="353"/>
      <c r="AK82" s="353"/>
      <c r="AL82" s="353"/>
      <c r="AM82" s="353"/>
      <c r="AN82" s="353"/>
      <c r="AO82" s="353"/>
      <c r="AP82" s="353"/>
      <c r="AQ82" s="353"/>
      <c r="AR82" s="353"/>
      <c r="AS82" s="353"/>
      <c r="AT82" s="353"/>
      <c r="AU82" s="353"/>
      <c r="AV82" s="353"/>
      <c r="AW82" s="353"/>
      <c r="AX82" s="353"/>
      <c r="AY82" s="353"/>
      <c r="AZ82" s="353"/>
      <c r="BA82" s="353"/>
      <c r="BB82" s="353"/>
      <c r="BC82" s="353"/>
      <c r="BD82" s="353"/>
      <c r="BE82" s="353"/>
      <c r="BF82" s="353"/>
      <c r="BG82" s="353"/>
      <c r="BH82" s="353"/>
      <c r="BI82" s="353"/>
      <c r="BJ82" s="353"/>
      <c r="BK82" s="353"/>
      <c r="BL82" s="353"/>
      <c r="BM82" s="353"/>
      <c r="BN82" s="353"/>
      <c r="BO82" s="353"/>
      <c r="BP82" s="353"/>
      <c r="BQ82" s="353"/>
      <c r="BR82" s="353"/>
      <c r="BS82" s="353"/>
      <c r="BT82" s="353"/>
      <c r="BU82" s="353"/>
      <c r="BV82" s="353"/>
      <c r="BW82" s="353"/>
      <c r="BX82" s="353"/>
      <c r="BY82" s="353"/>
      <c r="BZ82" s="353"/>
      <c r="CA82" s="353"/>
      <c r="CB82" s="353"/>
      <c r="CC82" s="353"/>
      <c r="CD82" s="353"/>
      <c r="CE82" s="353"/>
      <c r="CF82" s="353"/>
      <c r="CG82" s="353"/>
      <c r="CH82" s="353"/>
      <c r="CI82" s="353"/>
      <c r="CJ82" s="353"/>
      <c r="CK82" s="353"/>
      <c r="CL82" s="353"/>
      <c r="CM82" s="353"/>
      <c r="CN82" s="353"/>
      <c r="CO82" s="353"/>
      <c r="CP82" s="353"/>
      <c r="CQ82" s="353"/>
      <c r="CR82" s="353"/>
      <c r="CS82" s="353"/>
      <c r="CT82" s="353"/>
      <c r="CU82" s="353"/>
      <c r="CV82" s="353"/>
      <c r="CW82" s="353"/>
      <c r="CX82" s="353"/>
      <c r="CY82" s="353"/>
      <c r="CZ82" s="353"/>
      <c r="DA82" s="353"/>
      <c r="DB82" s="353"/>
      <c r="DC82" s="353"/>
      <c r="DD82" s="353"/>
      <c r="DE82" s="353"/>
      <c r="DF82" s="353"/>
      <c r="DG82" s="353"/>
      <c r="DH82" s="353"/>
      <c r="DI82" s="353"/>
      <c r="DJ82" s="353"/>
      <c r="DK82" s="353"/>
      <c r="DL82" s="353"/>
      <c r="DM82" s="353"/>
      <c r="DN82" s="353"/>
      <c r="DO82" s="353"/>
      <c r="DP82" s="353"/>
      <c r="DQ82" s="353"/>
      <c r="DR82" s="353"/>
      <c r="DS82" s="353"/>
      <c r="DT82" s="353"/>
      <c r="DU82" s="353"/>
      <c r="DV82" s="353"/>
      <c r="DW82" s="353"/>
      <c r="DX82" s="353"/>
      <c r="DY82" s="353"/>
      <c r="DZ82" s="353"/>
      <c r="EA82" s="353"/>
      <c r="EB82" s="353"/>
      <c r="EC82" s="353"/>
    </row>
    <row r="83" spans="2:133" s="354" customFormat="1" ht="15.75">
      <c r="B83" s="671"/>
      <c r="C83" s="677"/>
      <c r="D83" s="677"/>
      <c r="F83" s="353"/>
      <c r="G83" s="353"/>
      <c r="H83" s="353"/>
      <c r="I83" s="353"/>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3"/>
      <c r="BB83" s="353"/>
      <c r="BC83" s="353"/>
      <c r="BD83" s="353"/>
      <c r="BE83" s="353"/>
      <c r="BF83" s="353"/>
      <c r="BG83" s="353"/>
      <c r="BH83" s="353"/>
      <c r="BI83" s="353"/>
      <c r="BJ83" s="353"/>
      <c r="BK83" s="353"/>
      <c r="BL83" s="353"/>
      <c r="BM83" s="353"/>
      <c r="BN83" s="353"/>
      <c r="BO83" s="353"/>
      <c r="BP83" s="353"/>
      <c r="BQ83" s="353"/>
      <c r="BR83" s="353"/>
      <c r="BS83" s="353"/>
      <c r="BT83" s="353"/>
      <c r="BU83" s="353"/>
      <c r="BV83" s="353"/>
      <c r="BW83" s="353"/>
      <c r="BX83" s="353"/>
      <c r="BY83" s="353"/>
      <c r="BZ83" s="353"/>
      <c r="CA83" s="353"/>
      <c r="CB83" s="353"/>
      <c r="CC83" s="353"/>
      <c r="CD83" s="353"/>
      <c r="CE83" s="353"/>
      <c r="CF83" s="353"/>
      <c r="CG83" s="353"/>
      <c r="CH83" s="353"/>
      <c r="CI83" s="353"/>
      <c r="CJ83" s="353"/>
      <c r="CK83" s="353"/>
      <c r="CL83" s="353"/>
      <c r="CM83" s="353"/>
      <c r="CN83" s="353"/>
      <c r="CO83" s="353"/>
      <c r="CP83" s="353"/>
      <c r="CQ83" s="353"/>
      <c r="CR83" s="353"/>
      <c r="CS83" s="353"/>
      <c r="CT83" s="353"/>
      <c r="CU83" s="353"/>
      <c r="CV83" s="353"/>
      <c r="CW83" s="353"/>
      <c r="CX83" s="353"/>
      <c r="CY83" s="353"/>
      <c r="CZ83" s="353"/>
      <c r="DA83" s="353"/>
      <c r="DB83" s="353"/>
      <c r="DC83" s="353"/>
      <c r="DD83" s="353"/>
      <c r="DE83" s="353"/>
      <c r="DF83" s="353"/>
      <c r="DG83" s="353"/>
      <c r="DH83" s="353"/>
      <c r="DI83" s="353"/>
      <c r="DJ83" s="353"/>
      <c r="DK83" s="353"/>
      <c r="DL83" s="353"/>
      <c r="DM83" s="353"/>
      <c r="DN83" s="353"/>
      <c r="DO83" s="353"/>
      <c r="DP83" s="353"/>
      <c r="DQ83" s="353"/>
      <c r="DR83" s="353"/>
      <c r="DS83" s="353"/>
      <c r="DT83" s="353"/>
      <c r="DU83" s="353"/>
      <c r="DV83" s="353"/>
      <c r="DW83" s="353"/>
      <c r="DX83" s="353"/>
      <c r="DY83" s="353"/>
      <c r="DZ83" s="353"/>
      <c r="EA83" s="353"/>
      <c r="EB83" s="353"/>
      <c r="EC83" s="353"/>
    </row>
    <row r="84" spans="2:133" s="354" customFormat="1" ht="15.75">
      <c r="B84" s="672" t="s">
        <v>430</v>
      </c>
      <c r="C84" s="684"/>
      <c r="D84" s="684">
        <f>D73</f>
        <v>0.26705524843039136</v>
      </c>
      <c r="F84" s="353"/>
      <c r="G84" s="353"/>
      <c r="H84" s="353"/>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c r="AG84" s="353"/>
      <c r="AH84" s="353"/>
      <c r="AI84" s="353"/>
      <c r="AJ84" s="353"/>
      <c r="AK84" s="353"/>
      <c r="AL84" s="353"/>
      <c r="AM84" s="353"/>
      <c r="AN84" s="353"/>
      <c r="AO84" s="353"/>
      <c r="AP84" s="353"/>
      <c r="AQ84" s="353"/>
      <c r="AR84" s="353"/>
      <c r="AS84" s="353"/>
      <c r="AT84" s="353"/>
      <c r="AU84" s="353"/>
      <c r="AV84" s="353"/>
      <c r="AW84" s="353"/>
      <c r="AX84" s="353"/>
      <c r="AY84" s="353"/>
      <c r="AZ84" s="353"/>
      <c r="BA84" s="353"/>
      <c r="BB84" s="353"/>
      <c r="BC84" s="353"/>
      <c r="BD84" s="353"/>
      <c r="BE84" s="353"/>
      <c r="BF84" s="353"/>
      <c r="BG84" s="353"/>
      <c r="BH84" s="353"/>
      <c r="BI84" s="353"/>
      <c r="BJ84" s="353"/>
      <c r="BK84" s="353"/>
      <c r="BL84" s="353"/>
      <c r="BM84" s="353"/>
      <c r="BN84" s="353"/>
      <c r="BO84" s="353"/>
      <c r="BP84" s="353"/>
      <c r="BQ84" s="353"/>
      <c r="BR84" s="353"/>
      <c r="BS84" s="353"/>
      <c r="BT84" s="353"/>
      <c r="BU84" s="353"/>
      <c r="BV84" s="353"/>
      <c r="BW84" s="353"/>
      <c r="BX84" s="353"/>
      <c r="BY84" s="353"/>
      <c r="BZ84" s="353"/>
      <c r="CA84" s="353"/>
      <c r="CB84" s="353"/>
      <c r="CC84" s="353"/>
      <c r="CD84" s="353"/>
      <c r="CE84" s="353"/>
      <c r="CF84" s="353"/>
      <c r="CG84" s="353"/>
      <c r="CH84" s="353"/>
      <c r="CI84" s="353"/>
      <c r="CJ84" s="353"/>
      <c r="CK84" s="353"/>
      <c r="CL84" s="353"/>
      <c r="CM84" s="353"/>
      <c r="CN84" s="353"/>
      <c r="CO84" s="353"/>
      <c r="CP84" s="353"/>
      <c r="CQ84" s="353"/>
      <c r="CR84" s="353"/>
      <c r="CS84" s="353"/>
      <c r="CT84" s="353"/>
      <c r="CU84" s="353"/>
      <c r="CV84" s="353"/>
      <c r="CW84" s="353"/>
      <c r="CX84" s="353"/>
      <c r="CY84" s="353"/>
      <c r="CZ84" s="353"/>
      <c r="DA84" s="353"/>
      <c r="DB84" s="353"/>
      <c r="DC84" s="353"/>
      <c r="DD84" s="353"/>
      <c r="DE84" s="353"/>
      <c r="DF84" s="353"/>
      <c r="DG84" s="353"/>
      <c r="DH84" s="353"/>
      <c r="DI84" s="353"/>
      <c r="DJ84" s="353"/>
      <c r="DK84" s="353"/>
      <c r="DL84" s="353"/>
      <c r="DM84" s="353"/>
      <c r="DN84" s="353"/>
      <c r="DO84" s="353"/>
      <c r="DP84" s="353"/>
      <c r="DQ84" s="353"/>
      <c r="DR84" s="353"/>
      <c r="DS84" s="353"/>
      <c r="DT84" s="353"/>
      <c r="DU84" s="353"/>
      <c r="DV84" s="353"/>
      <c r="DW84" s="353"/>
      <c r="DX84" s="353"/>
      <c r="DY84" s="353"/>
      <c r="DZ84" s="353"/>
      <c r="EA84" s="353"/>
      <c r="EB84" s="353"/>
      <c r="EC84" s="353"/>
    </row>
    <row r="85" spans="2:133" s="354" customFormat="1" ht="16.5" thickBot="1">
      <c r="B85" s="672" t="s">
        <v>431</v>
      </c>
      <c r="C85" s="684"/>
      <c r="D85" s="684">
        <f>D77</f>
        <v>0.010860246769502582</v>
      </c>
      <c r="F85" s="353"/>
      <c r="G85" s="353"/>
      <c r="H85" s="353"/>
      <c r="I85" s="353"/>
      <c r="J85" s="353"/>
      <c r="K85" s="353"/>
      <c r="L85" s="353"/>
      <c r="M85" s="353"/>
      <c r="N85" s="353"/>
      <c r="O85" s="353"/>
      <c r="P85" s="353"/>
      <c r="Q85" s="353"/>
      <c r="R85" s="353"/>
      <c r="S85" s="353"/>
      <c r="T85" s="353"/>
      <c r="U85" s="353"/>
      <c r="V85" s="353"/>
      <c r="W85" s="353"/>
      <c r="X85" s="353"/>
      <c r="Y85" s="353"/>
      <c r="Z85" s="353"/>
      <c r="AA85" s="353"/>
      <c r="AB85" s="353"/>
      <c r="AC85" s="353"/>
      <c r="AD85" s="353"/>
      <c r="AE85" s="353"/>
      <c r="AF85" s="353"/>
      <c r="AG85" s="353"/>
      <c r="AH85" s="353"/>
      <c r="AI85" s="353"/>
      <c r="AJ85" s="353"/>
      <c r="AK85" s="353"/>
      <c r="AL85" s="353"/>
      <c r="AM85" s="353"/>
      <c r="AN85" s="353"/>
      <c r="AO85" s="353"/>
      <c r="AP85" s="353"/>
      <c r="AQ85" s="353"/>
      <c r="AR85" s="353"/>
      <c r="AS85" s="353"/>
      <c r="AT85" s="353"/>
      <c r="AU85" s="353"/>
      <c r="AV85" s="353"/>
      <c r="AW85" s="353"/>
      <c r="AX85" s="353"/>
      <c r="AY85" s="353"/>
      <c r="AZ85" s="353"/>
      <c r="BA85" s="353"/>
      <c r="BB85" s="353"/>
      <c r="BC85" s="353"/>
      <c r="BD85" s="353"/>
      <c r="BE85" s="353"/>
      <c r="BF85" s="353"/>
      <c r="BG85" s="353"/>
      <c r="BH85" s="353"/>
      <c r="BI85" s="353"/>
      <c r="BJ85" s="353"/>
      <c r="BK85" s="353"/>
      <c r="BL85" s="353"/>
      <c r="BM85" s="353"/>
      <c r="BN85" s="353"/>
      <c r="BO85" s="353"/>
      <c r="BP85" s="353"/>
      <c r="BQ85" s="353"/>
      <c r="BR85" s="353"/>
      <c r="BS85" s="353"/>
      <c r="BT85" s="353"/>
      <c r="BU85" s="353"/>
      <c r="BV85" s="353"/>
      <c r="BW85" s="353"/>
      <c r="BX85" s="353"/>
      <c r="BY85" s="353"/>
      <c r="BZ85" s="353"/>
      <c r="CA85" s="353"/>
      <c r="CB85" s="353"/>
      <c r="CC85" s="353"/>
      <c r="CD85" s="353"/>
      <c r="CE85" s="353"/>
      <c r="CF85" s="353"/>
      <c r="CG85" s="353"/>
      <c r="CH85" s="353"/>
      <c r="CI85" s="353"/>
      <c r="CJ85" s="353"/>
      <c r="CK85" s="353"/>
      <c r="CL85" s="353"/>
      <c r="CM85" s="353"/>
      <c r="CN85" s="353"/>
      <c r="CO85" s="353"/>
      <c r="CP85" s="353"/>
      <c r="CQ85" s="353"/>
      <c r="CR85" s="353"/>
      <c r="CS85" s="353"/>
      <c r="CT85" s="353"/>
      <c r="CU85" s="353"/>
      <c r="CV85" s="353"/>
      <c r="CW85" s="353"/>
      <c r="CX85" s="353"/>
      <c r="CY85" s="353"/>
      <c r="CZ85" s="353"/>
      <c r="DA85" s="353"/>
      <c r="DB85" s="353"/>
      <c r="DC85" s="353"/>
      <c r="DD85" s="353"/>
      <c r="DE85" s="353"/>
      <c r="DF85" s="353"/>
      <c r="DG85" s="353"/>
      <c r="DH85" s="353"/>
      <c r="DI85" s="353"/>
      <c r="DJ85" s="353"/>
      <c r="DK85" s="353"/>
      <c r="DL85" s="353"/>
      <c r="DM85" s="353"/>
      <c r="DN85" s="353"/>
      <c r="DO85" s="353"/>
      <c r="DP85" s="353"/>
      <c r="DQ85" s="353"/>
      <c r="DR85" s="353"/>
      <c r="DS85" s="353"/>
      <c r="DT85" s="353"/>
      <c r="DU85" s="353"/>
      <c r="DV85" s="353"/>
      <c r="DW85" s="353"/>
      <c r="DX85" s="353"/>
      <c r="DY85" s="353"/>
      <c r="DZ85" s="353"/>
      <c r="EA85" s="353"/>
      <c r="EB85" s="353"/>
      <c r="EC85" s="353"/>
    </row>
    <row r="86" spans="2:133" s="354" customFormat="1" ht="16.5" thickBot="1">
      <c r="B86" s="674" t="s">
        <v>432</v>
      </c>
      <c r="C86" s="684"/>
      <c r="D86" s="821">
        <f>D81+D82-D84+D85</f>
        <v>0.06066850001654194</v>
      </c>
      <c r="F86" s="353"/>
      <c r="G86" s="353"/>
      <c r="H86" s="353"/>
      <c r="I86" s="353"/>
      <c r="J86" s="353"/>
      <c r="K86" s="353"/>
      <c r="L86" s="353"/>
      <c r="M86" s="353"/>
      <c r="N86" s="353"/>
      <c r="O86" s="353"/>
      <c r="P86" s="353"/>
      <c r="Q86" s="353"/>
      <c r="R86" s="353"/>
      <c r="S86" s="353"/>
      <c r="T86" s="353"/>
      <c r="U86" s="353"/>
      <c r="V86" s="353"/>
      <c r="W86" s="353"/>
      <c r="X86" s="353"/>
      <c r="Y86" s="353"/>
      <c r="Z86" s="353"/>
      <c r="AA86" s="353"/>
      <c r="AB86" s="353"/>
      <c r="AC86" s="353"/>
      <c r="AD86" s="353"/>
      <c r="AE86" s="353"/>
      <c r="AF86" s="353"/>
      <c r="AG86" s="353"/>
      <c r="AH86" s="353"/>
      <c r="AI86" s="353"/>
      <c r="AJ86" s="353"/>
      <c r="AK86" s="353"/>
      <c r="AL86" s="353"/>
      <c r="AM86" s="353"/>
      <c r="AN86" s="353"/>
      <c r="AO86" s="353"/>
      <c r="AP86" s="353"/>
      <c r="AQ86" s="353"/>
      <c r="AR86" s="353"/>
      <c r="AS86" s="353"/>
      <c r="AT86" s="353"/>
      <c r="AU86" s="353"/>
      <c r="AV86" s="353"/>
      <c r="AW86" s="353"/>
      <c r="AX86" s="353"/>
      <c r="AY86" s="353"/>
      <c r="AZ86" s="353"/>
      <c r="BA86" s="353"/>
      <c r="BB86" s="353"/>
      <c r="BC86" s="353"/>
      <c r="BD86" s="353"/>
      <c r="BE86" s="353"/>
      <c r="BF86" s="353"/>
      <c r="BG86" s="353"/>
      <c r="BH86" s="353"/>
      <c r="BI86" s="353"/>
      <c r="BJ86" s="353"/>
      <c r="BK86" s="353"/>
      <c r="BL86" s="353"/>
      <c r="BM86" s="353"/>
      <c r="BN86" s="353"/>
      <c r="BO86" s="353"/>
      <c r="BP86" s="353"/>
      <c r="BQ86" s="353"/>
      <c r="BR86" s="353"/>
      <c r="BS86" s="353"/>
      <c r="BT86" s="353"/>
      <c r="BU86" s="353"/>
      <c r="BV86" s="353"/>
      <c r="BW86" s="353"/>
      <c r="BX86" s="353"/>
      <c r="BY86" s="353"/>
      <c r="BZ86" s="353"/>
      <c r="CA86" s="353"/>
      <c r="CB86" s="353"/>
      <c r="CC86" s="353"/>
      <c r="CD86" s="353"/>
      <c r="CE86" s="353"/>
      <c r="CF86" s="353"/>
      <c r="CG86" s="353"/>
      <c r="CH86" s="353"/>
      <c r="CI86" s="353"/>
      <c r="CJ86" s="353"/>
      <c r="CK86" s="353"/>
      <c r="CL86" s="353"/>
      <c r="CM86" s="353"/>
      <c r="CN86" s="353"/>
      <c r="CO86" s="353"/>
      <c r="CP86" s="353"/>
      <c r="CQ86" s="353"/>
      <c r="CR86" s="353"/>
      <c r="CS86" s="353"/>
      <c r="CT86" s="353"/>
      <c r="CU86" s="353"/>
      <c r="CV86" s="353"/>
      <c r="CW86" s="353"/>
      <c r="CX86" s="353"/>
      <c r="CY86" s="353"/>
      <c r="CZ86" s="353"/>
      <c r="DA86" s="353"/>
      <c r="DB86" s="353"/>
      <c r="DC86" s="353"/>
      <c r="DD86" s="353"/>
      <c r="DE86" s="353"/>
      <c r="DF86" s="353"/>
      <c r="DG86" s="353"/>
      <c r="DH86" s="353"/>
      <c r="DI86" s="353"/>
      <c r="DJ86" s="353"/>
      <c r="DK86" s="353"/>
      <c r="DL86" s="353"/>
      <c r="DM86" s="353"/>
      <c r="DN86" s="353"/>
      <c r="DO86" s="353"/>
      <c r="DP86" s="353"/>
      <c r="DQ86" s="353"/>
      <c r="DR86" s="353"/>
      <c r="DS86" s="353"/>
      <c r="DT86" s="353"/>
      <c r="DU86" s="353"/>
      <c r="DV86" s="353"/>
      <c r="DW86" s="353"/>
      <c r="DX86" s="353"/>
      <c r="DY86" s="353"/>
      <c r="DZ86" s="353"/>
      <c r="EA86" s="353"/>
      <c r="EB86" s="353"/>
      <c r="EC86" s="353"/>
    </row>
    <row r="87" spans="2:133" s="354" customFormat="1" ht="15.75">
      <c r="B87" s="671"/>
      <c r="C87" s="677"/>
      <c r="D87" s="677"/>
      <c r="F87" s="353"/>
      <c r="G87" s="353"/>
      <c r="H87" s="353"/>
      <c r="I87" s="353"/>
      <c r="J87" s="353"/>
      <c r="K87" s="353"/>
      <c r="L87" s="353"/>
      <c r="M87" s="353"/>
      <c r="N87" s="353"/>
      <c r="O87" s="353"/>
      <c r="P87" s="353"/>
      <c r="Q87" s="353"/>
      <c r="R87" s="353"/>
      <c r="S87" s="353"/>
      <c r="T87" s="353"/>
      <c r="U87" s="353"/>
      <c r="V87" s="353"/>
      <c r="W87" s="353"/>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53"/>
      <c r="AV87" s="353"/>
      <c r="AW87" s="353"/>
      <c r="AX87" s="353"/>
      <c r="AY87" s="353"/>
      <c r="AZ87" s="353"/>
      <c r="BA87" s="353"/>
      <c r="BB87" s="353"/>
      <c r="BC87" s="353"/>
      <c r="BD87" s="353"/>
      <c r="BE87" s="353"/>
      <c r="BF87" s="353"/>
      <c r="BG87" s="353"/>
      <c r="BH87" s="353"/>
      <c r="BI87" s="353"/>
      <c r="BJ87" s="353"/>
      <c r="BK87" s="353"/>
      <c r="BL87" s="353"/>
      <c r="BM87" s="353"/>
      <c r="BN87" s="353"/>
      <c r="BO87" s="353"/>
      <c r="BP87" s="353"/>
      <c r="BQ87" s="353"/>
      <c r="BR87" s="353"/>
      <c r="BS87" s="353"/>
      <c r="BT87" s="353"/>
      <c r="BU87" s="353"/>
      <c r="BV87" s="353"/>
      <c r="BW87" s="353"/>
      <c r="BX87" s="353"/>
      <c r="BY87" s="353"/>
      <c r="BZ87" s="353"/>
      <c r="CA87" s="353"/>
      <c r="CB87" s="353"/>
      <c r="CC87" s="353"/>
      <c r="CD87" s="353"/>
      <c r="CE87" s="353"/>
      <c r="CF87" s="353"/>
      <c r="CG87" s="353"/>
      <c r="CH87" s="353"/>
      <c r="CI87" s="353"/>
      <c r="CJ87" s="353"/>
      <c r="CK87" s="353"/>
      <c r="CL87" s="353"/>
      <c r="CM87" s="353"/>
      <c r="CN87" s="353"/>
      <c r="CO87" s="353"/>
      <c r="CP87" s="353"/>
      <c r="CQ87" s="353"/>
      <c r="CR87" s="353"/>
      <c r="CS87" s="353"/>
      <c r="CT87" s="353"/>
      <c r="CU87" s="353"/>
      <c r="CV87" s="353"/>
      <c r="CW87" s="353"/>
      <c r="CX87" s="353"/>
      <c r="CY87" s="353"/>
      <c r="CZ87" s="353"/>
      <c r="DA87" s="353"/>
      <c r="DB87" s="353"/>
      <c r="DC87" s="353"/>
      <c r="DD87" s="353"/>
      <c r="DE87" s="353"/>
      <c r="DF87" s="353"/>
      <c r="DG87" s="353"/>
      <c r="DH87" s="353"/>
      <c r="DI87" s="353"/>
      <c r="DJ87" s="353"/>
      <c r="DK87" s="353"/>
      <c r="DL87" s="353"/>
      <c r="DM87" s="353"/>
      <c r="DN87" s="353"/>
      <c r="DO87" s="353"/>
      <c r="DP87" s="353"/>
      <c r="DQ87" s="353"/>
      <c r="DR87" s="353"/>
      <c r="DS87" s="353"/>
      <c r="DT87" s="353"/>
      <c r="DU87" s="353"/>
      <c r="DV87" s="353"/>
      <c r="DW87" s="353"/>
      <c r="DX87" s="353"/>
      <c r="DY87" s="353"/>
      <c r="DZ87" s="353"/>
      <c r="EA87" s="353"/>
      <c r="EB87" s="353"/>
      <c r="EC87" s="353"/>
    </row>
    <row r="88" spans="2:133" s="354" customFormat="1" ht="15.75">
      <c r="B88" s="353"/>
      <c r="D88" s="818"/>
      <c r="F88" s="353"/>
      <c r="G88" s="353"/>
      <c r="H88" s="353"/>
      <c r="I88" s="353"/>
      <c r="J88" s="353"/>
      <c r="K88" s="353"/>
      <c r="L88" s="353"/>
      <c r="M88" s="353"/>
      <c r="N88" s="353"/>
      <c r="O88" s="353"/>
      <c r="P88" s="353"/>
      <c r="Q88" s="353"/>
      <c r="R88" s="353"/>
      <c r="S88" s="353"/>
      <c r="T88" s="353"/>
      <c r="U88" s="353"/>
      <c r="V88" s="353"/>
      <c r="W88" s="353"/>
      <c r="X88" s="353"/>
      <c r="Y88" s="353"/>
      <c r="Z88" s="353"/>
      <c r="AA88" s="353"/>
      <c r="AB88" s="353"/>
      <c r="AC88" s="353"/>
      <c r="AD88" s="353"/>
      <c r="AE88" s="353"/>
      <c r="AF88" s="353"/>
      <c r="AG88" s="353"/>
      <c r="AH88" s="353"/>
      <c r="AI88" s="353"/>
      <c r="AJ88" s="353"/>
      <c r="AK88" s="353"/>
      <c r="AL88" s="353"/>
      <c r="AM88" s="353"/>
      <c r="AN88" s="353"/>
      <c r="AO88" s="353"/>
      <c r="AP88" s="353"/>
      <c r="AQ88" s="353"/>
      <c r="AR88" s="353"/>
      <c r="AS88" s="353"/>
      <c r="AT88" s="353"/>
      <c r="AU88" s="353"/>
      <c r="AV88" s="353"/>
      <c r="AW88" s="353"/>
      <c r="AX88" s="353"/>
      <c r="AY88" s="353"/>
      <c r="AZ88" s="353"/>
      <c r="BA88" s="353"/>
      <c r="BB88" s="353"/>
      <c r="BC88" s="353"/>
      <c r="BD88" s="353"/>
      <c r="BE88" s="353"/>
      <c r="BF88" s="353"/>
      <c r="BG88" s="353"/>
      <c r="BH88" s="353"/>
      <c r="BI88" s="353"/>
      <c r="BJ88" s="353"/>
      <c r="BK88" s="353"/>
      <c r="BL88" s="353"/>
      <c r="BM88" s="353"/>
      <c r="BN88" s="353"/>
      <c r="BO88" s="353"/>
      <c r="BP88" s="353"/>
      <c r="BQ88" s="353"/>
      <c r="BR88" s="353"/>
      <c r="BS88" s="353"/>
      <c r="BT88" s="353"/>
      <c r="BU88" s="353"/>
      <c r="BV88" s="353"/>
      <c r="BW88" s="353"/>
      <c r="BX88" s="353"/>
      <c r="BY88" s="353"/>
      <c r="BZ88" s="353"/>
      <c r="CA88" s="353"/>
      <c r="CB88" s="353"/>
      <c r="CC88" s="353"/>
      <c r="CD88" s="353"/>
      <c r="CE88" s="353"/>
      <c r="CF88" s="353"/>
      <c r="CG88" s="353"/>
      <c r="CH88" s="353"/>
      <c r="CI88" s="353"/>
      <c r="CJ88" s="353"/>
      <c r="CK88" s="353"/>
      <c r="CL88" s="353"/>
      <c r="CM88" s="353"/>
      <c r="CN88" s="353"/>
      <c r="CO88" s="353"/>
      <c r="CP88" s="353"/>
      <c r="CQ88" s="353"/>
      <c r="CR88" s="353"/>
      <c r="CS88" s="353"/>
      <c r="CT88" s="353"/>
      <c r="CU88" s="353"/>
      <c r="CV88" s="353"/>
      <c r="CW88" s="353"/>
      <c r="CX88" s="353"/>
      <c r="CY88" s="353"/>
      <c r="CZ88" s="353"/>
      <c r="DA88" s="353"/>
      <c r="DB88" s="353"/>
      <c r="DC88" s="353"/>
      <c r="DD88" s="353"/>
      <c r="DE88" s="353"/>
      <c r="DF88" s="353"/>
      <c r="DG88" s="353"/>
      <c r="DH88" s="353"/>
      <c r="DI88" s="353"/>
      <c r="DJ88" s="353"/>
      <c r="DK88" s="353"/>
      <c r="DL88" s="353"/>
      <c r="DM88" s="353"/>
      <c r="DN88" s="353"/>
      <c r="DO88" s="353"/>
      <c r="DP88" s="353"/>
      <c r="DQ88" s="353"/>
      <c r="DR88" s="353"/>
      <c r="DS88" s="353"/>
      <c r="DT88" s="353"/>
      <c r="DU88" s="353"/>
      <c r="DV88" s="353"/>
      <c r="DW88" s="353"/>
      <c r="DX88" s="353"/>
      <c r="DY88" s="353"/>
      <c r="DZ88" s="353"/>
      <c r="EA88" s="353"/>
      <c r="EB88" s="353"/>
      <c r="EC88" s="353"/>
    </row>
    <row r="89" spans="2:133" s="354" customFormat="1" ht="15.75">
      <c r="B89" s="355"/>
      <c r="C89" s="353"/>
      <c r="D89" s="353"/>
      <c r="E89" s="353"/>
      <c r="F89" s="353"/>
      <c r="G89" s="353"/>
      <c r="H89" s="353"/>
      <c r="I89" s="353"/>
      <c r="J89" s="353"/>
      <c r="K89" s="353"/>
      <c r="L89" s="353"/>
      <c r="M89" s="353"/>
      <c r="N89" s="353"/>
      <c r="O89" s="353"/>
      <c r="P89" s="353"/>
      <c r="Q89" s="353"/>
      <c r="R89" s="353"/>
      <c r="S89" s="353"/>
      <c r="T89" s="353"/>
      <c r="U89" s="353"/>
      <c r="V89" s="353"/>
      <c r="W89" s="353"/>
      <c r="X89" s="353"/>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c r="BB89" s="353"/>
      <c r="BC89" s="353"/>
      <c r="BD89" s="353"/>
      <c r="BE89" s="353"/>
      <c r="BF89" s="353"/>
      <c r="BG89" s="353"/>
      <c r="BH89" s="353"/>
      <c r="BI89" s="353"/>
      <c r="BJ89" s="353"/>
      <c r="BK89" s="353"/>
      <c r="BL89" s="353"/>
      <c r="BM89" s="353"/>
      <c r="BN89" s="353"/>
      <c r="BO89" s="353"/>
      <c r="BP89" s="353"/>
      <c r="BQ89" s="353"/>
      <c r="BR89" s="353"/>
      <c r="BS89" s="353"/>
      <c r="BT89" s="353"/>
      <c r="BU89" s="353"/>
      <c r="BV89" s="353"/>
      <c r="BW89" s="353"/>
      <c r="BX89" s="353"/>
      <c r="BY89" s="353"/>
      <c r="BZ89" s="353"/>
      <c r="CA89" s="353"/>
      <c r="CB89" s="353"/>
      <c r="CC89" s="353"/>
      <c r="CD89" s="353"/>
      <c r="CE89" s="353"/>
      <c r="CF89" s="353"/>
      <c r="CG89" s="353"/>
      <c r="CH89" s="353"/>
      <c r="CI89" s="353"/>
      <c r="CJ89" s="353"/>
      <c r="CK89" s="353"/>
      <c r="CL89" s="353"/>
      <c r="CM89" s="353"/>
      <c r="CN89" s="353"/>
      <c r="CO89" s="353"/>
      <c r="CP89" s="353"/>
      <c r="CQ89" s="353"/>
      <c r="CR89" s="353"/>
      <c r="CS89" s="353"/>
      <c r="CT89" s="353"/>
      <c r="CU89" s="353"/>
      <c r="CV89" s="353"/>
      <c r="CW89" s="353"/>
      <c r="CX89" s="353"/>
      <c r="CY89" s="353"/>
      <c r="CZ89" s="353"/>
      <c r="DA89" s="353"/>
      <c r="DB89" s="353"/>
      <c r="DC89" s="353"/>
      <c r="DD89" s="353"/>
      <c r="DE89" s="353"/>
      <c r="DF89" s="353"/>
      <c r="DG89" s="353"/>
      <c r="DH89" s="353"/>
      <c r="DI89" s="353"/>
      <c r="DJ89" s="353"/>
      <c r="DK89" s="353"/>
      <c r="DL89" s="353"/>
      <c r="DM89" s="353"/>
      <c r="DN89" s="353"/>
      <c r="DO89" s="353"/>
      <c r="DP89" s="353"/>
      <c r="DQ89" s="353"/>
      <c r="DR89" s="353"/>
      <c r="DS89" s="353"/>
      <c r="DT89" s="353"/>
      <c r="DU89" s="353"/>
      <c r="DV89" s="353"/>
      <c r="DW89" s="353"/>
      <c r="DX89" s="353"/>
      <c r="DY89" s="353"/>
      <c r="DZ89" s="353"/>
      <c r="EA89" s="353"/>
      <c r="EB89" s="353"/>
      <c r="EC89" s="353"/>
    </row>
    <row r="90" spans="2:133" s="354" customFormat="1" ht="15.75">
      <c r="B90" s="353"/>
      <c r="C90" s="353"/>
      <c r="D90" s="353"/>
      <c r="E90" s="353"/>
      <c r="F90" s="353"/>
      <c r="G90" s="353"/>
      <c r="H90" s="353"/>
      <c r="I90" s="353"/>
      <c r="J90" s="353"/>
      <c r="K90" s="353"/>
      <c r="L90" s="353"/>
      <c r="M90" s="353"/>
      <c r="N90" s="353"/>
      <c r="O90" s="353"/>
      <c r="P90" s="353"/>
      <c r="Q90" s="353"/>
      <c r="R90" s="353"/>
      <c r="S90" s="353"/>
      <c r="T90" s="353"/>
      <c r="U90" s="353"/>
      <c r="V90" s="353"/>
      <c r="W90" s="353"/>
      <c r="X90" s="353"/>
      <c r="Y90" s="353"/>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c r="BB90" s="353"/>
      <c r="BC90" s="353"/>
      <c r="BD90" s="353"/>
      <c r="BE90" s="353"/>
      <c r="BF90" s="353"/>
      <c r="BG90" s="353"/>
      <c r="BH90" s="353"/>
      <c r="BI90" s="353"/>
      <c r="BJ90" s="353"/>
      <c r="BK90" s="353"/>
      <c r="BL90" s="353"/>
      <c r="BM90" s="353"/>
      <c r="BN90" s="353"/>
      <c r="BO90" s="353"/>
      <c r="BP90" s="353"/>
      <c r="BQ90" s="353"/>
      <c r="BR90" s="353"/>
      <c r="BS90" s="353"/>
      <c r="BT90" s="353"/>
      <c r="BU90" s="353"/>
      <c r="BV90" s="353"/>
      <c r="BW90" s="353"/>
      <c r="BX90" s="353"/>
      <c r="BY90" s="353"/>
      <c r="BZ90" s="353"/>
      <c r="CA90" s="353"/>
      <c r="CB90" s="353"/>
      <c r="CC90" s="353"/>
      <c r="CD90" s="353"/>
      <c r="CE90" s="353"/>
      <c r="CF90" s="353"/>
      <c r="CG90" s="353"/>
      <c r="CH90" s="353"/>
      <c r="CI90" s="353"/>
      <c r="CJ90" s="353"/>
      <c r="CK90" s="353"/>
      <c r="CL90" s="353"/>
      <c r="CM90" s="353"/>
      <c r="CN90" s="353"/>
      <c r="CO90" s="353"/>
      <c r="CP90" s="353"/>
      <c r="CQ90" s="353"/>
      <c r="CR90" s="353"/>
      <c r="CS90" s="353"/>
      <c r="CT90" s="353"/>
      <c r="CU90" s="353"/>
      <c r="CV90" s="353"/>
      <c r="CW90" s="353"/>
      <c r="CX90" s="353"/>
      <c r="CY90" s="353"/>
      <c r="CZ90" s="353"/>
      <c r="DA90" s="353"/>
      <c r="DB90" s="353"/>
      <c r="DC90" s="353"/>
      <c r="DD90" s="353"/>
      <c r="DE90" s="353"/>
      <c r="DF90" s="353"/>
      <c r="DG90" s="353"/>
      <c r="DH90" s="353"/>
      <c r="DI90" s="353"/>
      <c r="DJ90" s="353"/>
      <c r="DK90" s="353"/>
      <c r="DL90" s="353"/>
      <c r="DM90" s="353"/>
      <c r="DN90" s="353"/>
      <c r="DO90" s="353"/>
      <c r="DP90" s="353"/>
      <c r="DQ90" s="353"/>
      <c r="DR90" s="353"/>
      <c r="DS90" s="353"/>
      <c r="DT90" s="353"/>
      <c r="DU90" s="353"/>
      <c r="DV90" s="353"/>
      <c r="DW90" s="353"/>
      <c r="DX90" s="353"/>
      <c r="DY90" s="353"/>
      <c r="DZ90" s="353"/>
      <c r="EA90" s="353"/>
      <c r="EB90" s="353"/>
      <c r="EC90" s="353"/>
    </row>
    <row r="91" spans="2:133" s="354" customFormat="1" ht="15.75">
      <c r="B91" s="355"/>
      <c r="C91" s="353"/>
      <c r="D91" s="353"/>
      <c r="E91" s="353"/>
      <c r="F91" s="353"/>
      <c r="G91" s="353"/>
      <c r="H91" s="353"/>
      <c r="I91" s="353"/>
      <c r="J91" s="353"/>
      <c r="K91" s="353"/>
      <c r="L91" s="353"/>
      <c r="M91" s="353"/>
      <c r="N91" s="353"/>
      <c r="O91" s="353"/>
      <c r="P91" s="353"/>
      <c r="Q91" s="353"/>
      <c r="R91" s="353"/>
      <c r="S91" s="353"/>
      <c r="T91" s="353"/>
      <c r="U91" s="353"/>
      <c r="V91" s="353"/>
      <c r="W91" s="353"/>
      <c r="X91" s="353"/>
      <c r="Y91" s="353"/>
      <c r="Z91" s="353"/>
      <c r="AA91" s="353"/>
      <c r="AB91" s="353"/>
      <c r="AC91" s="353"/>
      <c r="AD91" s="353"/>
      <c r="AE91" s="353"/>
      <c r="AF91" s="353"/>
      <c r="AG91" s="353"/>
      <c r="AH91" s="353"/>
      <c r="AI91" s="353"/>
      <c r="AJ91" s="353"/>
      <c r="AK91" s="353"/>
      <c r="AL91" s="353"/>
      <c r="AM91" s="353"/>
      <c r="AN91" s="353"/>
      <c r="AO91" s="353"/>
      <c r="AP91" s="353"/>
      <c r="AQ91" s="353"/>
      <c r="AR91" s="353"/>
      <c r="AS91" s="353"/>
      <c r="AT91" s="353"/>
      <c r="AU91" s="353"/>
      <c r="AV91" s="353"/>
      <c r="AW91" s="353"/>
      <c r="AX91" s="353"/>
      <c r="AY91" s="353"/>
      <c r="AZ91" s="353"/>
      <c r="BA91" s="353"/>
      <c r="BB91" s="353"/>
      <c r="BC91" s="353"/>
      <c r="BD91" s="353"/>
      <c r="BE91" s="353"/>
      <c r="BF91" s="353"/>
      <c r="BG91" s="353"/>
      <c r="BH91" s="353"/>
      <c r="BI91" s="353"/>
      <c r="BJ91" s="353"/>
      <c r="BK91" s="353"/>
      <c r="BL91" s="353"/>
      <c r="BM91" s="353"/>
      <c r="BN91" s="353"/>
      <c r="BO91" s="353"/>
      <c r="BP91" s="353"/>
      <c r="BQ91" s="353"/>
      <c r="BR91" s="353"/>
      <c r="BS91" s="353"/>
      <c r="BT91" s="353"/>
      <c r="BU91" s="353"/>
      <c r="BV91" s="353"/>
      <c r="BW91" s="353"/>
      <c r="BX91" s="353"/>
      <c r="BY91" s="353"/>
      <c r="BZ91" s="353"/>
      <c r="CA91" s="353"/>
      <c r="CB91" s="353"/>
      <c r="CC91" s="353"/>
      <c r="CD91" s="353"/>
      <c r="CE91" s="353"/>
      <c r="CF91" s="353"/>
      <c r="CG91" s="353"/>
      <c r="CH91" s="353"/>
      <c r="CI91" s="353"/>
      <c r="CJ91" s="353"/>
      <c r="CK91" s="353"/>
      <c r="CL91" s="353"/>
      <c r="CM91" s="353"/>
      <c r="CN91" s="353"/>
      <c r="CO91" s="353"/>
      <c r="CP91" s="353"/>
      <c r="CQ91" s="353"/>
      <c r="CR91" s="353"/>
      <c r="CS91" s="353"/>
      <c r="CT91" s="353"/>
      <c r="CU91" s="353"/>
      <c r="CV91" s="353"/>
      <c r="CW91" s="353"/>
      <c r="CX91" s="353"/>
      <c r="CY91" s="353"/>
      <c r="CZ91" s="353"/>
      <c r="DA91" s="353"/>
      <c r="DB91" s="353"/>
      <c r="DC91" s="353"/>
      <c r="DD91" s="353"/>
      <c r="DE91" s="353"/>
      <c r="DF91" s="353"/>
      <c r="DG91" s="353"/>
      <c r="DH91" s="353"/>
      <c r="DI91" s="353"/>
      <c r="DJ91" s="353"/>
      <c r="DK91" s="353"/>
      <c r="DL91" s="353"/>
      <c r="DM91" s="353"/>
      <c r="DN91" s="353"/>
      <c r="DO91" s="353"/>
      <c r="DP91" s="353"/>
      <c r="DQ91" s="353"/>
      <c r="DR91" s="353"/>
      <c r="DS91" s="353"/>
      <c r="DT91" s="353"/>
      <c r="DU91" s="353"/>
      <c r="DV91" s="353"/>
      <c r="DW91" s="353"/>
      <c r="DX91" s="353"/>
      <c r="DY91" s="353"/>
      <c r="DZ91" s="353"/>
      <c r="EA91" s="353"/>
      <c r="EB91" s="353"/>
      <c r="EC91" s="353"/>
    </row>
    <row r="92" spans="2:133" s="354" customFormat="1" ht="15.75">
      <c r="B92" s="355"/>
      <c r="C92" s="353"/>
      <c r="D92" s="353"/>
      <c r="E92" s="353"/>
      <c r="F92" s="353"/>
      <c r="G92" s="353"/>
      <c r="H92" s="353"/>
      <c r="I92" s="353"/>
      <c r="J92" s="353"/>
      <c r="K92" s="353"/>
      <c r="L92" s="353"/>
      <c r="M92" s="353"/>
      <c r="N92" s="353"/>
      <c r="O92" s="353"/>
      <c r="P92" s="353"/>
      <c r="Q92" s="353"/>
      <c r="R92" s="353"/>
      <c r="S92" s="353"/>
      <c r="T92" s="353"/>
      <c r="U92" s="353"/>
      <c r="V92" s="353"/>
      <c r="W92" s="353"/>
      <c r="X92" s="353"/>
      <c r="Y92" s="353"/>
      <c r="Z92" s="353"/>
      <c r="AA92" s="353"/>
      <c r="AB92" s="353"/>
      <c r="AC92" s="353"/>
      <c r="AD92" s="353"/>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3"/>
      <c r="BB92" s="353"/>
      <c r="BC92" s="353"/>
      <c r="BD92" s="353"/>
      <c r="BE92" s="353"/>
      <c r="BF92" s="353"/>
      <c r="BG92" s="353"/>
      <c r="BH92" s="353"/>
      <c r="BI92" s="353"/>
      <c r="BJ92" s="353"/>
      <c r="BK92" s="353"/>
      <c r="BL92" s="353"/>
      <c r="BM92" s="353"/>
      <c r="BN92" s="353"/>
      <c r="BO92" s="353"/>
      <c r="BP92" s="353"/>
      <c r="BQ92" s="353"/>
      <c r="BR92" s="353"/>
      <c r="BS92" s="353"/>
      <c r="BT92" s="353"/>
      <c r="BU92" s="353"/>
      <c r="BV92" s="353"/>
      <c r="BW92" s="353"/>
      <c r="BX92" s="353"/>
      <c r="BY92" s="353"/>
      <c r="BZ92" s="353"/>
      <c r="CA92" s="353"/>
      <c r="CB92" s="353"/>
      <c r="CC92" s="353"/>
      <c r="CD92" s="353"/>
      <c r="CE92" s="353"/>
      <c r="CF92" s="353"/>
      <c r="CG92" s="353"/>
      <c r="CH92" s="353"/>
      <c r="CI92" s="353"/>
      <c r="CJ92" s="353"/>
      <c r="CK92" s="353"/>
      <c r="CL92" s="353"/>
      <c r="CM92" s="353"/>
      <c r="CN92" s="353"/>
      <c r="CO92" s="353"/>
      <c r="CP92" s="353"/>
      <c r="CQ92" s="353"/>
      <c r="CR92" s="353"/>
      <c r="CS92" s="353"/>
      <c r="CT92" s="353"/>
      <c r="CU92" s="353"/>
      <c r="CV92" s="353"/>
      <c r="CW92" s="353"/>
      <c r="CX92" s="353"/>
      <c r="CY92" s="353"/>
      <c r="CZ92" s="353"/>
      <c r="DA92" s="353"/>
      <c r="DB92" s="353"/>
      <c r="DC92" s="353"/>
      <c r="DD92" s="353"/>
      <c r="DE92" s="353"/>
      <c r="DF92" s="353"/>
      <c r="DG92" s="353"/>
      <c r="DH92" s="353"/>
      <c r="DI92" s="353"/>
      <c r="DJ92" s="353"/>
      <c r="DK92" s="353"/>
      <c r="DL92" s="353"/>
      <c r="DM92" s="353"/>
      <c r="DN92" s="353"/>
      <c r="DO92" s="353"/>
      <c r="DP92" s="353"/>
      <c r="DQ92" s="353"/>
      <c r="DR92" s="353"/>
      <c r="DS92" s="353"/>
      <c r="DT92" s="353"/>
      <c r="DU92" s="353"/>
      <c r="DV92" s="353"/>
      <c r="DW92" s="353"/>
      <c r="DX92" s="353"/>
      <c r="DY92" s="353"/>
      <c r="DZ92" s="353"/>
      <c r="EA92" s="353"/>
      <c r="EB92" s="353"/>
      <c r="EC92" s="353"/>
    </row>
    <row r="93" spans="2:133" s="354" customFormat="1" ht="15.75">
      <c r="B93" s="366"/>
      <c r="C93" s="368"/>
      <c r="D93" s="353"/>
      <c r="E93" s="353"/>
      <c r="F93" s="353"/>
      <c r="G93" s="353"/>
      <c r="H93" s="353"/>
      <c r="I93" s="353"/>
      <c r="J93" s="353"/>
      <c r="K93" s="353"/>
      <c r="L93" s="353"/>
      <c r="M93" s="353"/>
      <c r="N93" s="353"/>
      <c r="O93" s="353"/>
      <c r="P93" s="353"/>
      <c r="Q93" s="353"/>
      <c r="R93" s="353"/>
      <c r="S93" s="353"/>
      <c r="T93" s="353"/>
      <c r="U93" s="353"/>
      <c r="V93" s="353"/>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c r="BB93" s="353"/>
      <c r="BC93" s="353"/>
      <c r="BD93" s="353"/>
      <c r="BE93" s="353"/>
      <c r="BF93" s="353"/>
      <c r="BG93" s="353"/>
      <c r="BH93" s="353"/>
      <c r="BI93" s="353"/>
      <c r="BJ93" s="353"/>
      <c r="BK93" s="353"/>
      <c r="BL93" s="353"/>
      <c r="BM93" s="353"/>
      <c r="BN93" s="353"/>
      <c r="BO93" s="353"/>
      <c r="BP93" s="353"/>
      <c r="BQ93" s="353"/>
      <c r="BR93" s="353"/>
      <c r="BS93" s="353"/>
      <c r="BT93" s="353"/>
      <c r="BU93" s="353"/>
      <c r="BV93" s="353"/>
      <c r="BW93" s="353"/>
      <c r="BX93" s="353"/>
      <c r="BY93" s="353"/>
      <c r="BZ93" s="353"/>
      <c r="CA93" s="353"/>
      <c r="CB93" s="353"/>
      <c r="CC93" s="353"/>
      <c r="CD93" s="353"/>
      <c r="CE93" s="353"/>
      <c r="CF93" s="353"/>
      <c r="CG93" s="353"/>
      <c r="CH93" s="353"/>
      <c r="CI93" s="353"/>
      <c r="CJ93" s="353"/>
      <c r="CK93" s="353"/>
      <c r="CL93" s="353"/>
      <c r="CM93" s="353"/>
      <c r="CN93" s="353"/>
      <c r="CO93" s="353"/>
      <c r="CP93" s="353"/>
      <c r="CQ93" s="353"/>
      <c r="CR93" s="353"/>
      <c r="CS93" s="353"/>
      <c r="CT93" s="353"/>
      <c r="CU93" s="353"/>
      <c r="CV93" s="353"/>
      <c r="CW93" s="353"/>
      <c r="CX93" s="353"/>
      <c r="CY93" s="353"/>
      <c r="CZ93" s="353"/>
      <c r="DA93" s="353"/>
      <c r="DB93" s="353"/>
      <c r="DC93" s="353"/>
      <c r="DD93" s="353"/>
      <c r="DE93" s="353"/>
      <c r="DF93" s="353"/>
      <c r="DG93" s="353"/>
      <c r="DH93" s="353"/>
      <c r="DI93" s="353"/>
      <c r="DJ93" s="353"/>
      <c r="DK93" s="353"/>
      <c r="DL93" s="353"/>
      <c r="DM93" s="353"/>
      <c r="DN93" s="353"/>
      <c r="DO93" s="353"/>
      <c r="DP93" s="353"/>
      <c r="DQ93" s="353"/>
      <c r="DR93" s="353"/>
      <c r="DS93" s="353"/>
      <c r="DT93" s="353"/>
      <c r="DU93" s="353"/>
      <c r="DV93" s="353"/>
      <c r="DW93" s="353"/>
      <c r="DX93" s="353"/>
      <c r="DY93" s="353"/>
      <c r="DZ93" s="353"/>
      <c r="EA93" s="353"/>
      <c r="EB93" s="353"/>
      <c r="EC93" s="353"/>
    </row>
    <row r="94" spans="2:133" s="354" customFormat="1" ht="15.75">
      <c r="B94" s="366"/>
      <c r="C94" s="367"/>
      <c r="D94" s="353"/>
      <c r="E94" s="353"/>
      <c r="F94" s="353"/>
      <c r="G94" s="353"/>
      <c r="H94" s="353"/>
      <c r="I94" s="353"/>
      <c r="J94" s="353"/>
      <c r="K94" s="353"/>
      <c r="L94" s="353"/>
      <c r="M94" s="353"/>
      <c r="N94" s="353"/>
      <c r="O94" s="353"/>
      <c r="P94" s="353"/>
      <c r="Q94" s="353"/>
      <c r="R94" s="353"/>
      <c r="S94" s="353"/>
      <c r="T94" s="353"/>
      <c r="U94" s="353"/>
      <c r="V94" s="353"/>
      <c r="W94" s="353"/>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c r="AW94" s="353"/>
      <c r="AX94" s="353"/>
      <c r="AY94" s="353"/>
      <c r="AZ94" s="353"/>
      <c r="BA94" s="353"/>
      <c r="BB94" s="353"/>
      <c r="BC94" s="353"/>
      <c r="BD94" s="353"/>
      <c r="BE94" s="353"/>
      <c r="BF94" s="353"/>
      <c r="BG94" s="353"/>
      <c r="BH94" s="353"/>
      <c r="BI94" s="353"/>
      <c r="BJ94" s="353"/>
      <c r="BK94" s="353"/>
      <c r="BL94" s="353"/>
      <c r="BM94" s="353"/>
      <c r="BN94" s="353"/>
      <c r="BO94" s="353"/>
      <c r="BP94" s="353"/>
      <c r="BQ94" s="353"/>
      <c r="BR94" s="353"/>
      <c r="BS94" s="353"/>
      <c r="BT94" s="353"/>
      <c r="BU94" s="353"/>
      <c r="BV94" s="353"/>
      <c r="BW94" s="353"/>
      <c r="BX94" s="353"/>
      <c r="BY94" s="353"/>
      <c r="BZ94" s="353"/>
      <c r="CA94" s="353"/>
      <c r="CB94" s="353"/>
      <c r="CC94" s="353"/>
      <c r="CD94" s="353"/>
      <c r="CE94" s="353"/>
      <c r="CF94" s="353"/>
      <c r="CG94" s="353"/>
      <c r="CH94" s="353"/>
      <c r="CI94" s="353"/>
      <c r="CJ94" s="353"/>
      <c r="CK94" s="353"/>
      <c r="CL94" s="353"/>
      <c r="CM94" s="353"/>
      <c r="CN94" s="353"/>
      <c r="CO94" s="353"/>
      <c r="CP94" s="353"/>
      <c r="CQ94" s="353"/>
      <c r="CR94" s="353"/>
      <c r="CS94" s="353"/>
      <c r="CT94" s="353"/>
      <c r="CU94" s="353"/>
      <c r="CV94" s="353"/>
      <c r="CW94" s="353"/>
      <c r="CX94" s="353"/>
      <c r="CY94" s="353"/>
      <c r="CZ94" s="353"/>
      <c r="DA94" s="353"/>
      <c r="DB94" s="353"/>
      <c r="DC94" s="353"/>
      <c r="DD94" s="353"/>
      <c r="DE94" s="353"/>
      <c r="DF94" s="353"/>
      <c r="DG94" s="353"/>
      <c r="DH94" s="353"/>
      <c r="DI94" s="353"/>
      <c r="DJ94" s="353"/>
      <c r="DK94" s="353"/>
      <c r="DL94" s="353"/>
      <c r="DM94" s="353"/>
      <c r="DN94" s="353"/>
      <c r="DO94" s="353"/>
      <c r="DP94" s="353"/>
      <c r="DQ94" s="353"/>
      <c r="DR94" s="353"/>
      <c r="DS94" s="353"/>
      <c r="DT94" s="353"/>
      <c r="DU94" s="353"/>
      <c r="DV94" s="353"/>
      <c r="DW94" s="353"/>
      <c r="DX94" s="353"/>
      <c r="DY94" s="353"/>
      <c r="DZ94" s="353"/>
      <c r="EA94" s="353"/>
      <c r="EB94" s="353"/>
      <c r="EC94" s="353"/>
    </row>
    <row r="95" spans="2:133" s="354" customFormat="1" ht="15.75">
      <c r="B95" s="353"/>
      <c r="C95" s="353"/>
      <c r="D95" s="353"/>
      <c r="E95" s="353"/>
      <c r="F95" s="353"/>
      <c r="G95" s="353"/>
      <c r="H95" s="353"/>
      <c r="I95" s="353"/>
      <c r="J95" s="353"/>
      <c r="K95" s="353"/>
      <c r="L95" s="353"/>
      <c r="M95" s="353"/>
      <c r="N95" s="353"/>
      <c r="O95" s="353"/>
      <c r="P95" s="353"/>
      <c r="Q95" s="353"/>
      <c r="R95" s="353"/>
      <c r="S95" s="353"/>
      <c r="T95" s="353"/>
      <c r="U95" s="353"/>
      <c r="V95" s="353"/>
      <c r="W95" s="353"/>
      <c r="X95" s="353"/>
      <c r="Y95" s="353"/>
      <c r="Z95" s="353"/>
      <c r="AA95" s="353"/>
      <c r="AB95" s="353"/>
      <c r="AC95" s="353"/>
      <c r="AD95" s="353"/>
      <c r="AE95" s="353"/>
      <c r="AF95" s="353"/>
      <c r="AG95" s="353"/>
      <c r="AH95" s="353"/>
      <c r="AI95" s="353"/>
      <c r="AJ95" s="353"/>
      <c r="AK95" s="353"/>
      <c r="AL95" s="353"/>
      <c r="AM95" s="353"/>
      <c r="AN95" s="353"/>
      <c r="AO95" s="353"/>
      <c r="AP95" s="353"/>
      <c r="AQ95" s="353"/>
      <c r="AR95" s="353"/>
      <c r="AS95" s="353"/>
      <c r="AT95" s="353"/>
      <c r="AU95" s="353"/>
      <c r="AV95" s="353"/>
      <c r="AW95" s="353"/>
      <c r="AX95" s="353"/>
      <c r="AY95" s="353"/>
      <c r="AZ95" s="353"/>
      <c r="BA95" s="353"/>
      <c r="BB95" s="353"/>
      <c r="BC95" s="353"/>
      <c r="BD95" s="353"/>
      <c r="BE95" s="353"/>
      <c r="BF95" s="353"/>
      <c r="BG95" s="353"/>
      <c r="BH95" s="353"/>
      <c r="BI95" s="353"/>
      <c r="BJ95" s="353"/>
      <c r="BK95" s="353"/>
      <c r="BL95" s="353"/>
      <c r="BM95" s="353"/>
      <c r="BN95" s="353"/>
      <c r="BO95" s="353"/>
      <c r="BP95" s="353"/>
      <c r="BQ95" s="353"/>
      <c r="BR95" s="353"/>
      <c r="BS95" s="353"/>
      <c r="BT95" s="353"/>
      <c r="BU95" s="353"/>
      <c r="BV95" s="353"/>
      <c r="BW95" s="353"/>
      <c r="BX95" s="353"/>
      <c r="BY95" s="353"/>
      <c r="BZ95" s="353"/>
      <c r="CA95" s="353"/>
      <c r="CB95" s="353"/>
      <c r="CC95" s="353"/>
      <c r="CD95" s="353"/>
      <c r="CE95" s="353"/>
      <c r="CF95" s="353"/>
      <c r="CG95" s="353"/>
      <c r="CH95" s="353"/>
      <c r="CI95" s="353"/>
      <c r="CJ95" s="353"/>
      <c r="CK95" s="353"/>
      <c r="CL95" s="353"/>
      <c r="CM95" s="353"/>
      <c r="CN95" s="353"/>
      <c r="CO95" s="353"/>
      <c r="CP95" s="353"/>
      <c r="CQ95" s="353"/>
      <c r="CR95" s="353"/>
      <c r="CS95" s="353"/>
      <c r="CT95" s="353"/>
      <c r="CU95" s="353"/>
      <c r="CV95" s="353"/>
      <c r="CW95" s="353"/>
      <c r="CX95" s="353"/>
      <c r="CY95" s="353"/>
      <c r="CZ95" s="353"/>
      <c r="DA95" s="353"/>
      <c r="DB95" s="353"/>
      <c r="DC95" s="353"/>
      <c r="DD95" s="353"/>
      <c r="DE95" s="353"/>
      <c r="DF95" s="353"/>
      <c r="DG95" s="353"/>
      <c r="DH95" s="353"/>
      <c r="DI95" s="353"/>
      <c r="DJ95" s="353"/>
      <c r="DK95" s="353"/>
      <c r="DL95" s="353"/>
      <c r="DM95" s="353"/>
      <c r="DN95" s="353"/>
      <c r="DO95" s="353"/>
      <c r="DP95" s="353"/>
      <c r="DQ95" s="353"/>
      <c r="DR95" s="353"/>
      <c r="DS95" s="353"/>
      <c r="DT95" s="353"/>
      <c r="DU95" s="353"/>
      <c r="DV95" s="353"/>
      <c r="DW95" s="353"/>
      <c r="DX95" s="353"/>
      <c r="DY95" s="353"/>
      <c r="DZ95" s="353"/>
      <c r="EA95" s="353"/>
      <c r="EB95" s="353"/>
      <c r="EC95" s="353"/>
    </row>
    <row r="96" spans="2:133" s="354" customFormat="1" ht="15.75">
      <c r="B96" s="355"/>
      <c r="C96" s="353"/>
      <c r="D96" s="353"/>
      <c r="E96" s="353"/>
      <c r="F96" s="353"/>
      <c r="G96" s="353"/>
      <c r="H96" s="353"/>
      <c r="I96" s="353"/>
      <c r="J96" s="353"/>
      <c r="K96" s="353"/>
      <c r="L96" s="353"/>
      <c r="M96" s="353"/>
      <c r="N96" s="353"/>
      <c r="O96" s="353"/>
      <c r="P96" s="353"/>
      <c r="Q96" s="353"/>
      <c r="R96" s="353"/>
      <c r="S96" s="353"/>
      <c r="T96" s="353"/>
      <c r="U96" s="353"/>
      <c r="V96" s="353"/>
      <c r="W96" s="353"/>
      <c r="X96" s="353"/>
      <c r="Y96" s="353"/>
      <c r="Z96" s="353"/>
      <c r="AA96" s="353"/>
      <c r="AB96" s="353"/>
      <c r="AC96" s="353"/>
      <c r="AD96" s="353"/>
      <c r="AE96" s="353"/>
      <c r="AF96" s="353"/>
      <c r="AG96" s="353"/>
      <c r="AH96" s="353"/>
      <c r="AI96" s="353"/>
      <c r="AJ96" s="353"/>
      <c r="AK96" s="353"/>
      <c r="AL96" s="353"/>
      <c r="AM96" s="353"/>
      <c r="AN96" s="353"/>
      <c r="AO96" s="353"/>
      <c r="AP96" s="353"/>
      <c r="AQ96" s="353"/>
      <c r="AR96" s="353"/>
      <c r="AS96" s="353"/>
      <c r="AT96" s="353"/>
      <c r="AU96" s="353"/>
      <c r="AV96" s="353"/>
      <c r="AW96" s="353"/>
      <c r="AX96" s="353"/>
      <c r="AY96" s="353"/>
      <c r="AZ96" s="353"/>
      <c r="BA96" s="353"/>
      <c r="BB96" s="353"/>
      <c r="BC96" s="353"/>
      <c r="BD96" s="353"/>
      <c r="BE96" s="353"/>
      <c r="BF96" s="353"/>
      <c r="BG96" s="353"/>
      <c r="BH96" s="353"/>
      <c r="BI96" s="353"/>
      <c r="BJ96" s="353"/>
      <c r="BK96" s="353"/>
      <c r="BL96" s="353"/>
      <c r="BM96" s="353"/>
      <c r="BN96" s="353"/>
      <c r="BO96" s="353"/>
      <c r="BP96" s="353"/>
      <c r="BQ96" s="353"/>
      <c r="BR96" s="353"/>
      <c r="BS96" s="353"/>
      <c r="BT96" s="353"/>
      <c r="BU96" s="353"/>
      <c r="BV96" s="353"/>
      <c r="BW96" s="353"/>
      <c r="BX96" s="353"/>
      <c r="BY96" s="353"/>
      <c r="BZ96" s="353"/>
      <c r="CA96" s="353"/>
      <c r="CB96" s="353"/>
      <c r="CC96" s="353"/>
      <c r="CD96" s="353"/>
      <c r="CE96" s="353"/>
      <c r="CF96" s="353"/>
      <c r="CG96" s="353"/>
      <c r="CH96" s="353"/>
      <c r="CI96" s="353"/>
      <c r="CJ96" s="353"/>
      <c r="CK96" s="353"/>
      <c r="CL96" s="353"/>
      <c r="CM96" s="353"/>
      <c r="CN96" s="353"/>
      <c r="CO96" s="353"/>
      <c r="CP96" s="353"/>
      <c r="CQ96" s="353"/>
      <c r="CR96" s="353"/>
      <c r="CS96" s="353"/>
      <c r="CT96" s="353"/>
      <c r="CU96" s="353"/>
      <c r="CV96" s="353"/>
      <c r="CW96" s="353"/>
      <c r="CX96" s="353"/>
      <c r="CY96" s="353"/>
      <c r="CZ96" s="353"/>
      <c r="DA96" s="353"/>
      <c r="DB96" s="353"/>
      <c r="DC96" s="353"/>
      <c r="DD96" s="353"/>
      <c r="DE96" s="353"/>
      <c r="DF96" s="353"/>
      <c r="DG96" s="353"/>
      <c r="DH96" s="353"/>
      <c r="DI96" s="353"/>
      <c r="DJ96" s="353"/>
      <c r="DK96" s="353"/>
      <c r="DL96" s="353"/>
      <c r="DM96" s="353"/>
      <c r="DN96" s="353"/>
      <c r="DO96" s="353"/>
      <c r="DP96" s="353"/>
      <c r="DQ96" s="353"/>
      <c r="DR96" s="353"/>
      <c r="DS96" s="353"/>
      <c r="DT96" s="353"/>
      <c r="DU96" s="353"/>
      <c r="DV96" s="353"/>
      <c r="DW96" s="353"/>
      <c r="DX96" s="353"/>
      <c r="DY96" s="353"/>
      <c r="DZ96" s="353"/>
      <c r="EA96" s="353"/>
      <c r="EB96" s="353"/>
      <c r="EC96" s="353"/>
    </row>
    <row r="97" spans="2:133" s="354" customFormat="1" ht="15.75">
      <c r="B97" s="353"/>
      <c r="C97" s="353"/>
      <c r="D97" s="353"/>
      <c r="E97" s="353"/>
      <c r="F97" s="353"/>
      <c r="G97" s="353"/>
      <c r="H97" s="353"/>
      <c r="I97" s="353"/>
      <c r="J97" s="353"/>
      <c r="K97" s="353"/>
      <c r="L97" s="353"/>
      <c r="M97" s="353"/>
      <c r="N97" s="353"/>
      <c r="O97" s="353"/>
      <c r="P97" s="353"/>
      <c r="Q97" s="353"/>
      <c r="R97" s="353"/>
      <c r="S97" s="353"/>
      <c r="T97" s="353"/>
      <c r="U97" s="353"/>
      <c r="V97" s="353"/>
      <c r="W97" s="353"/>
      <c r="X97" s="353"/>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353"/>
      <c r="AY97" s="353"/>
      <c r="AZ97" s="353"/>
      <c r="BA97" s="353"/>
      <c r="BB97" s="353"/>
      <c r="BC97" s="353"/>
      <c r="BD97" s="353"/>
      <c r="BE97" s="353"/>
      <c r="BF97" s="353"/>
      <c r="BG97" s="353"/>
      <c r="BH97" s="353"/>
      <c r="BI97" s="353"/>
      <c r="BJ97" s="353"/>
      <c r="BK97" s="353"/>
      <c r="BL97" s="353"/>
      <c r="BM97" s="353"/>
      <c r="BN97" s="353"/>
      <c r="BO97" s="353"/>
      <c r="BP97" s="353"/>
      <c r="BQ97" s="353"/>
      <c r="BR97" s="353"/>
      <c r="BS97" s="353"/>
      <c r="BT97" s="353"/>
      <c r="BU97" s="353"/>
      <c r="BV97" s="353"/>
      <c r="BW97" s="353"/>
      <c r="BX97" s="353"/>
      <c r="BY97" s="353"/>
      <c r="BZ97" s="353"/>
      <c r="CA97" s="353"/>
      <c r="CB97" s="353"/>
      <c r="CC97" s="353"/>
      <c r="CD97" s="353"/>
      <c r="CE97" s="353"/>
      <c r="CF97" s="353"/>
      <c r="CG97" s="353"/>
      <c r="CH97" s="353"/>
      <c r="CI97" s="353"/>
      <c r="CJ97" s="353"/>
      <c r="CK97" s="353"/>
      <c r="CL97" s="353"/>
      <c r="CM97" s="353"/>
      <c r="CN97" s="353"/>
      <c r="CO97" s="353"/>
      <c r="CP97" s="353"/>
      <c r="CQ97" s="353"/>
      <c r="CR97" s="353"/>
      <c r="CS97" s="353"/>
      <c r="CT97" s="353"/>
      <c r="CU97" s="353"/>
      <c r="CV97" s="353"/>
      <c r="CW97" s="353"/>
      <c r="CX97" s="353"/>
      <c r="CY97" s="353"/>
      <c r="CZ97" s="353"/>
      <c r="DA97" s="353"/>
      <c r="DB97" s="353"/>
      <c r="DC97" s="353"/>
      <c r="DD97" s="353"/>
      <c r="DE97" s="353"/>
      <c r="DF97" s="353"/>
      <c r="DG97" s="353"/>
      <c r="DH97" s="353"/>
      <c r="DI97" s="353"/>
      <c r="DJ97" s="353"/>
      <c r="DK97" s="353"/>
      <c r="DL97" s="353"/>
      <c r="DM97" s="353"/>
      <c r="DN97" s="353"/>
      <c r="DO97" s="353"/>
      <c r="DP97" s="353"/>
      <c r="DQ97" s="353"/>
      <c r="DR97" s="353"/>
      <c r="DS97" s="353"/>
      <c r="DT97" s="353"/>
      <c r="DU97" s="353"/>
      <c r="DV97" s="353"/>
      <c r="DW97" s="353"/>
      <c r="DX97" s="353"/>
      <c r="DY97" s="353"/>
      <c r="DZ97" s="353"/>
      <c r="EA97" s="353"/>
      <c r="EB97" s="353"/>
      <c r="EC97" s="353"/>
    </row>
    <row r="98" spans="2:133" s="354" customFormat="1" ht="15.75">
      <c r="B98" s="355"/>
      <c r="C98" s="353"/>
      <c r="D98" s="353"/>
      <c r="E98" s="353"/>
      <c r="F98" s="353"/>
      <c r="G98" s="353"/>
      <c r="H98" s="353"/>
      <c r="I98" s="353"/>
      <c r="J98" s="353"/>
      <c r="K98" s="353"/>
      <c r="L98" s="353"/>
      <c r="M98" s="353"/>
      <c r="N98" s="353"/>
      <c r="O98" s="353"/>
      <c r="P98" s="353"/>
      <c r="Q98" s="353"/>
      <c r="R98" s="353"/>
      <c r="S98" s="353"/>
      <c r="T98" s="353"/>
      <c r="U98" s="353"/>
      <c r="V98" s="353"/>
      <c r="W98" s="353"/>
      <c r="X98" s="353"/>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3"/>
      <c r="BB98" s="353"/>
      <c r="BC98" s="353"/>
      <c r="BD98" s="353"/>
      <c r="BE98" s="353"/>
      <c r="BF98" s="353"/>
      <c r="BG98" s="353"/>
      <c r="BH98" s="353"/>
      <c r="BI98" s="353"/>
      <c r="BJ98" s="353"/>
      <c r="BK98" s="353"/>
      <c r="BL98" s="353"/>
      <c r="BM98" s="353"/>
      <c r="BN98" s="353"/>
      <c r="BO98" s="353"/>
      <c r="BP98" s="353"/>
      <c r="BQ98" s="353"/>
      <c r="BR98" s="353"/>
      <c r="BS98" s="353"/>
      <c r="BT98" s="353"/>
      <c r="BU98" s="353"/>
      <c r="BV98" s="353"/>
      <c r="BW98" s="353"/>
      <c r="BX98" s="353"/>
      <c r="BY98" s="353"/>
      <c r="BZ98" s="353"/>
      <c r="CA98" s="353"/>
      <c r="CB98" s="353"/>
      <c r="CC98" s="353"/>
      <c r="CD98" s="353"/>
      <c r="CE98" s="353"/>
      <c r="CF98" s="353"/>
      <c r="CG98" s="353"/>
      <c r="CH98" s="353"/>
      <c r="CI98" s="353"/>
      <c r="CJ98" s="353"/>
      <c r="CK98" s="353"/>
      <c r="CL98" s="353"/>
      <c r="CM98" s="353"/>
      <c r="CN98" s="353"/>
      <c r="CO98" s="353"/>
      <c r="CP98" s="353"/>
      <c r="CQ98" s="353"/>
      <c r="CR98" s="353"/>
      <c r="CS98" s="353"/>
      <c r="CT98" s="353"/>
      <c r="CU98" s="353"/>
      <c r="CV98" s="353"/>
      <c r="CW98" s="353"/>
      <c r="CX98" s="353"/>
      <c r="CY98" s="353"/>
      <c r="CZ98" s="353"/>
      <c r="DA98" s="353"/>
      <c r="DB98" s="353"/>
      <c r="DC98" s="353"/>
      <c r="DD98" s="353"/>
      <c r="DE98" s="353"/>
      <c r="DF98" s="353"/>
      <c r="DG98" s="353"/>
      <c r="DH98" s="353"/>
      <c r="DI98" s="353"/>
      <c r="DJ98" s="353"/>
      <c r="DK98" s="353"/>
      <c r="DL98" s="353"/>
      <c r="DM98" s="353"/>
      <c r="DN98" s="353"/>
      <c r="DO98" s="353"/>
      <c r="DP98" s="353"/>
      <c r="DQ98" s="353"/>
      <c r="DR98" s="353"/>
      <c r="DS98" s="353"/>
      <c r="DT98" s="353"/>
      <c r="DU98" s="353"/>
      <c r="DV98" s="353"/>
      <c r="DW98" s="353"/>
      <c r="DX98" s="353"/>
      <c r="DY98" s="353"/>
      <c r="DZ98" s="353"/>
      <c r="EA98" s="353"/>
      <c r="EB98" s="353"/>
      <c r="EC98" s="353"/>
    </row>
    <row r="99" spans="2:133" s="354" customFormat="1" ht="15.75">
      <c r="B99" s="355"/>
      <c r="C99" s="353"/>
      <c r="D99" s="353"/>
      <c r="E99" s="353"/>
      <c r="F99" s="353"/>
      <c r="G99" s="353"/>
      <c r="H99" s="353"/>
      <c r="I99" s="353"/>
      <c r="J99" s="353"/>
      <c r="K99" s="353"/>
      <c r="L99" s="353"/>
      <c r="M99" s="353"/>
      <c r="N99" s="353"/>
      <c r="O99" s="353"/>
      <c r="P99" s="353"/>
      <c r="Q99" s="353"/>
      <c r="R99" s="353"/>
      <c r="S99" s="353"/>
      <c r="T99" s="353"/>
      <c r="U99" s="353"/>
      <c r="V99" s="353"/>
      <c r="W99" s="353"/>
      <c r="X99" s="353"/>
      <c r="Y99" s="353"/>
      <c r="Z99" s="353"/>
      <c r="AA99" s="353"/>
      <c r="AB99" s="353"/>
      <c r="AC99" s="353"/>
      <c r="AD99" s="353"/>
      <c r="AE99" s="353"/>
      <c r="AF99" s="353"/>
      <c r="AG99" s="353"/>
      <c r="AH99" s="353"/>
      <c r="AI99" s="353"/>
      <c r="AJ99" s="353"/>
      <c r="AK99" s="353"/>
      <c r="AL99" s="353"/>
      <c r="AM99" s="353"/>
      <c r="AN99" s="353"/>
      <c r="AO99" s="353"/>
      <c r="AP99" s="353"/>
      <c r="AQ99" s="353"/>
      <c r="AR99" s="353"/>
      <c r="AS99" s="353"/>
      <c r="AT99" s="353"/>
      <c r="AU99" s="353"/>
      <c r="AV99" s="353"/>
      <c r="AW99" s="353"/>
      <c r="AX99" s="353"/>
      <c r="AY99" s="353"/>
      <c r="AZ99" s="353"/>
      <c r="BA99" s="353"/>
      <c r="BB99" s="353"/>
      <c r="BC99" s="353"/>
      <c r="BD99" s="353"/>
      <c r="BE99" s="353"/>
      <c r="BF99" s="353"/>
      <c r="BG99" s="353"/>
      <c r="BH99" s="353"/>
      <c r="BI99" s="353"/>
      <c r="BJ99" s="353"/>
      <c r="BK99" s="353"/>
      <c r="BL99" s="353"/>
      <c r="BM99" s="353"/>
      <c r="BN99" s="353"/>
      <c r="BO99" s="353"/>
      <c r="BP99" s="353"/>
      <c r="BQ99" s="353"/>
      <c r="BR99" s="353"/>
      <c r="BS99" s="353"/>
      <c r="BT99" s="353"/>
      <c r="BU99" s="353"/>
      <c r="BV99" s="353"/>
      <c r="BW99" s="353"/>
      <c r="BX99" s="353"/>
      <c r="BY99" s="353"/>
      <c r="BZ99" s="353"/>
      <c r="CA99" s="353"/>
      <c r="CB99" s="353"/>
      <c r="CC99" s="353"/>
      <c r="CD99" s="353"/>
      <c r="CE99" s="353"/>
      <c r="CF99" s="353"/>
      <c r="CG99" s="353"/>
      <c r="CH99" s="353"/>
      <c r="CI99" s="353"/>
      <c r="CJ99" s="353"/>
      <c r="CK99" s="353"/>
      <c r="CL99" s="353"/>
      <c r="CM99" s="353"/>
      <c r="CN99" s="353"/>
      <c r="CO99" s="353"/>
      <c r="CP99" s="353"/>
      <c r="CQ99" s="353"/>
      <c r="CR99" s="353"/>
      <c r="CS99" s="353"/>
      <c r="CT99" s="353"/>
      <c r="CU99" s="353"/>
      <c r="CV99" s="353"/>
      <c r="CW99" s="353"/>
      <c r="CX99" s="353"/>
      <c r="CY99" s="353"/>
      <c r="CZ99" s="353"/>
      <c r="DA99" s="353"/>
      <c r="DB99" s="353"/>
      <c r="DC99" s="353"/>
      <c r="DD99" s="353"/>
      <c r="DE99" s="353"/>
      <c r="DF99" s="353"/>
      <c r="DG99" s="353"/>
      <c r="DH99" s="353"/>
      <c r="DI99" s="353"/>
      <c r="DJ99" s="353"/>
      <c r="DK99" s="353"/>
      <c r="DL99" s="353"/>
      <c r="DM99" s="353"/>
      <c r="DN99" s="353"/>
      <c r="DO99" s="353"/>
      <c r="DP99" s="353"/>
      <c r="DQ99" s="353"/>
      <c r="DR99" s="353"/>
      <c r="DS99" s="353"/>
      <c r="DT99" s="353"/>
      <c r="DU99" s="353"/>
      <c r="DV99" s="353"/>
      <c r="DW99" s="353"/>
      <c r="DX99" s="353"/>
      <c r="DY99" s="353"/>
      <c r="DZ99" s="353"/>
      <c r="EA99" s="353"/>
      <c r="EB99" s="353"/>
      <c r="EC99" s="353"/>
    </row>
    <row r="100" spans="2:133" s="354" customFormat="1" ht="15.75">
      <c r="B100" s="353"/>
      <c r="C100" s="368"/>
      <c r="D100" s="353"/>
      <c r="E100" s="353"/>
      <c r="F100" s="353"/>
      <c r="G100" s="353"/>
      <c r="H100" s="353"/>
      <c r="I100" s="353"/>
      <c r="J100" s="353"/>
      <c r="K100" s="353"/>
      <c r="L100" s="353"/>
      <c r="M100" s="353"/>
      <c r="N100" s="353"/>
      <c r="O100" s="353"/>
      <c r="P100" s="353"/>
      <c r="Q100" s="353"/>
      <c r="R100" s="353"/>
      <c r="S100" s="353"/>
      <c r="T100" s="353"/>
      <c r="U100" s="353"/>
      <c r="V100" s="353"/>
      <c r="W100" s="353"/>
      <c r="X100" s="353"/>
      <c r="Y100" s="353"/>
      <c r="Z100" s="353"/>
      <c r="AA100" s="353"/>
      <c r="AB100" s="353"/>
      <c r="AC100" s="353"/>
      <c r="AD100" s="353"/>
      <c r="AE100" s="353"/>
      <c r="AF100" s="353"/>
      <c r="AG100" s="353"/>
      <c r="AH100" s="353"/>
      <c r="AI100" s="353"/>
      <c r="AJ100" s="353"/>
      <c r="AK100" s="353"/>
      <c r="AL100" s="353"/>
      <c r="AM100" s="353"/>
      <c r="AN100" s="353"/>
      <c r="AO100" s="353"/>
      <c r="AP100" s="353"/>
      <c r="AQ100" s="353"/>
      <c r="AR100" s="353"/>
      <c r="AS100" s="353"/>
      <c r="AT100" s="353"/>
      <c r="AU100" s="353"/>
      <c r="AV100" s="353"/>
      <c r="AW100" s="353"/>
      <c r="AX100" s="353"/>
      <c r="AY100" s="353"/>
      <c r="AZ100" s="353"/>
      <c r="BA100" s="353"/>
      <c r="BB100" s="353"/>
      <c r="BC100" s="353"/>
      <c r="BD100" s="353"/>
      <c r="BE100" s="353"/>
      <c r="BF100" s="353"/>
      <c r="BG100" s="353"/>
      <c r="BH100" s="353"/>
      <c r="BI100" s="353"/>
      <c r="BJ100" s="353"/>
      <c r="BK100" s="353"/>
      <c r="BL100" s="353"/>
      <c r="BM100" s="353"/>
      <c r="BN100" s="353"/>
      <c r="BO100" s="353"/>
      <c r="BP100" s="353"/>
      <c r="BQ100" s="353"/>
      <c r="BR100" s="353"/>
      <c r="BS100" s="353"/>
      <c r="BT100" s="353"/>
      <c r="BU100" s="353"/>
      <c r="BV100" s="353"/>
      <c r="BW100" s="353"/>
      <c r="BX100" s="353"/>
      <c r="BY100" s="353"/>
      <c r="BZ100" s="353"/>
      <c r="CA100" s="353"/>
      <c r="CB100" s="353"/>
      <c r="CC100" s="353"/>
      <c r="CD100" s="353"/>
      <c r="CE100" s="353"/>
      <c r="CF100" s="353"/>
      <c r="CG100" s="353"/>
      <c r="CH100" s="353"/>
      <c r="CI100" s="353"/>
      <c r="CJ100" s="353"/>
      <c r="CK100" s="353"/>
      <c r="CL100" s="353"/>
      <c r="CM100" s="353"/>
      <c r="CN100" s="353"/>
      <c r="CO100" s="353"/>
      <c r="CP100" s="353"/>
      <c r="CQ100" s="353"/>
      <c r="CR100" s="353"/>
      <c r="CS100" s="353"/>
      <c r="CT100" s="353"/>
      <c r="CU100" s="353"/>
      <c r="CV100" s="353"/>
      <c r="CW100" s="353"/>
      <c r="CX100" s="353"/>
      <c r="CY100" s="353"/>
      <c r="CZ100" s="353"/>
      <c r="DA100" s="353"/>
      <c r="DB100" s="353"/>
      <c r="DC100" s="353"/>
      <c r="DD100" s="353"/>
      <c r="DE100" s="353"/>
      <c r="DF100" s="353"/>
      <c r="DG100" s="353"/>
      <c r="DH100" s="353"/>
      <c r="DI100" s="353"/>
      <c r="DJ100" s="353"/>
      <c r="DK100" s="353"/>
      <c r="DL100" s="353"/>
      <c r="DM100" s="353"/>
      <c r="DN100" s="353"/>
      <c r="DO100" s="353"/>
      <c r="DP100" s="353"/>
      <c r="DQ100" s="353"/>
      <c r="DR100" s="353"/>
      <c r="DS100" s="353"/>
      <c r="DT100" s="353"/>
      <c r="DU100" s="353"/>
      <c r="DV100" s="353"/>
      <c r="DW100" s="353"/>
      <c r="DX100" s="353"/>
      <c r="DY100" s="353"/>
      <c r="DZ100" s="353"/>
      <c r="EA100" s="353"/>
      <c r="EB100" s="353"/>
      <c r="EC100" s="353"/>
    </row>
    <row r="101" spans="2:133" s="354" customFormat="1" ht="15.75">
      <c r="B101" s="353"/>
      <c r="C101" s="368"/>
      <c r="D101" s="353"/>
      <c r="E101" s="353"/>
      <c r="F101" s="353"/>
      <c r="G101" s="353"/>
      <c r="H101" s="353"/>
      <c r="I101" s="353"/>
      <c r="J101" s="353"/>
      <c r="K101" s="353"/>
      <c r="L101" s="353"/>
      <c r="M101" s="353"/>
      <c r="N101" s="353"/>
      <c r="O101" s="353"/>
      <c r="P101" s="353"/>
      <c r="Q101" s="353"/>
      <c r="R101" s="353"/>
      <c r="S101" s="353"/>
      <c r="T101" s="353"/>
      <c r="U101" s="353"/>
      <c r="V101" s="353"/>
      <c r="W101" s="353"/>
      <c r="X101" s="353"/>
      <c r="Y101" s="353"/>
      <c r="Z101" s="353"/>
      <c r="AA101" s="353"/>
      <c r="AB101" s="353"/>
      <c r="AC101" s="353"/>
      <c r="AD101" s="353"/>
      <c r="AE101" s="353"/>
      <c r="AF101" s="353"/>
      <c r="AG101" s="353"/>
      <c r="AH101" s="353"/>
      <c r="AI101" s="353"/>
      <c r="AJ101" s="353"/>
      <c r="AK101" s="353"/>
      <c r="AL101" s="353"/>
      <c r="AM101" s="353"/>
      <c r="AN101" s="353"/>
      <c r="AO101" s="353"/>
      <c r="AP101" s="353"/>
      <c r="AQ101" s="353"/>
      <c r="AR101" s="353"/>
      <c r="AS101" s="353"/>
      <c r="AT101" s="353"/>
      <c r="AU101" s="353"/>
      <c r="AV101" s="353"/>
      <c r="AW101" s="353"/>
      <c r="AX101" s="353"/>
      <c r="AY101" s="353"/>
      <c r="AZ101" s="353"/>
      <c r="BA101" s="353"/>
      <c r="BB101" s="353"/>
      <c r="BC101" s="353"/>
      <c r="BD101" s="353"/>
      <c r="BE101" s="353"/>
      <c r="BF101" s="353"/>
      <c r="BG101" s="353"/>
      <c r="BH101" s="353"/>
      <c r="BI101" s="353"/>
      <c r="BJ101" s="353"/>
      <c r="BK101" s="353"/>
      <c r="BL101" s="353"/>
      <c r="BM101" s="353"/>
      <c r="BN101" s="353"/>
      <c r="BO101" s="353"/>
      <c r="BP101" s="353"/>
      <c r="BQ101" s="353"/>
      <c r="BR101" s="353"/>
      <c r="BS101" s="353"/>
      <c r="BT101" s="353"/>
      <c r="BU101" s="353"/>
      <c r="BV101" s="353"/>
      <c r="BW101" s="353"/>
      <c r="BX101" s="353"/>
      <c r="BY101" s="353"/>
      <c r="BZ101" s="353"/>
      <c r="CA101" s="353"/>
      <c r="CB101" s="353"/>
      <c r="CC101" s="353"/>
      <c r="CD101" s="353"/>
      <c r="CE101" s="353"/>
      <c r="CF101" s="353"/>
      <c r="CG101" s="353"/>
      <c r="CH101" s="353"/>
      <c r="CI101" s="353"/>
      <c r="CJ101" s="353"/>
      <c r="CK101" s="353"/>
      <c r="CL101" s="353"/>
      <c r="CM101" s="353"/>
      <c r="CN101" s="353"/>
      <c r="CO101" s="353"/>
      <c r="CP101" s="353"/>
      <c r="CQ101" s="353"/>
      <c r="CR101" s="353"/>
      <c r="CS101" s="353"/>
      <c r="CT101" s="353"/>
      <c r="CU101" s="353"/>
      <c r="CV101" s="353"/>
      <c r="CW101" s="353"/>
      <c r="CX101" s="353"/>
      <c r="CY101" s="353"/>
      <c r="CZ101" s="353"/>
      <c r="DA101" s="353"/>
      <c r="DB101" s="353"/>
      <c r="DC101" s="353"/>
      <c r="DD101" s="353"/>
      <c r="DE101" s="353"/>
      <c r="DF101" s="353"/>
      <c r="DG101" s="353"/>
      <c r="DH101" s="353"/>
      <c r="DI101" s="353"/>
      <c r="DJ101" s="353"/>
      <c r="DK101" s="353"/>
      <c r="DL101" s="353"/>
      <c r="DM101" s="353"/>
      <c r="DN101" s="353"/>
      <c r="DO101" s="353"/>
      <c r="DP101" s="353"/>
      <c r="DQ101" s="353"/>
      <c r="DR101" s="353"/>
      <c r="DS101" s="353"/>
      <c r="DT101" s="353"/>
      <c r="DU101" s="353"/>
      <c r="DV101" s="353"/>
      <c r="DW101" s="353"/>
      <c r="DX101" s="353"/>
      <c r="DY101" s="353"/>
      <c r="DZ101" s="353"/>
      <c r="EA101" s="353"/>
      <c r="EB101" s="353"/>
      <c r="EC101" s="353"/>
    </row>
    <row r="102" spans="2:133" s="354" customFormat="1" ht="15.75">
      <c r="B102" s="355"/>
      <c r="C102" s="353"/>
      <c r="D102" s="353"/>
      <c r="E102" s="353"/>
      <c r="F102" s="353"/>
      <c r="G102" s="353"/>
      <c r="H102" s="353"/>
      <c r="I102" s="353"/>
      <c r="J102" s="353"/>
      <c r="K102" s="353"/>
      <c r="L102" s="353"/>
      <c r="M102" s="353"/>
      <c r="N102" s="353"/>
      <c r="O102" s="353"/>
      <c r="P102" s="353"/>
      <c r="Q102" s="353"/>
      <c r="R102" s="353"/>
      <c r="S102" s="353"/>
      <c r="T102" s="353"/>
      <c r="U102" s="353"/>
      <c r="V102" s="353"/>
      <c r="W102" s="353"/>
      <c r="X102" s="353"/>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3"/>
      <c r="AZ102" s="353"/>
      <c r="BA102" s="353"/>
      <c r="BB102" s="353"/>
      <c r="BC102" s="353"/>
      <c r="BD102" s="353"/>
      <c r="BE102" s="353"/>
      <c r="BF102" s="353"/>
      <c r="BG102" s="353"/>
      <c r="BH102" s="353"/>
      <c r="BI102" s="353"/>
      <c r="BJ102" s="353"/>
      <c r="BK102" s="353"/>
      <c r="BL102" s="353"/>
      <c r="BM102" s="353"/>
      <c r="BN102" s="353"/>
      <c r="BO102" s="353"/>
      <c r="BP102" s="353"/>
      <c r="BQ102" s="353"/>
      <c r="BR102" s="353"/>
      <c r="BS102" s="353"/>
      <c r="BT102" s="353"/>
      <c r="BU102" s="353"/>
      <c r="BV102" s="353"/>
      <c r="BW102" s="353"/>
      <c r="BX102" s="353"/>
      <c r="BY102" s="353"/>
      <c r="BZ102" s="353"/>
      <c r="CA102" s="353"/>
      <c r="CB102" s="353"/>
      <c r="CC102" s="353"/>
      <c r="CD102" s="353"/>
      <c r="CE102" s="353"/>
      <c r="CF102" s="353"/>
      <c r="CG102" s="353"/>
      <c r="CH102" s="353"/>
      <c r="CI102" s="353"/>
      <c r="CJ102" s="353"/>
      <c r="CK102" s="353"/>
      <c r="CL102" s="353"/>
      <c r="CM102" s="353"/>
      <c r="CN102" s="353"/>
      <c r="CO102" s="353"/>
      <c r="CP102" s="353"/>
      <c r="CQ102" s="353"/>
      <c r="CR102" s="353"/>
      <c r="CS102" s="353"/>
      <c r="CT102" s="353"/>
      <c r="CU102" s="353"/>
      <c r="CV102" s="353"/>
      <c r="CW102" s="353"/>
      <c r="CX102" s="353"/>
      <c r="CY102" s="353"/>
      <c r="CZ102" s="353"/>
      <c r="DA102" s="353"/>
      <c r="DB102" s="353"/>
      <c r="DC102" s="353"/>
      <c r="DD102" s="353"/>
      <c r="DE102" s="353"/>
      <c r="DF102" s="353"/>
      <c r="DG102" s="353"/>
      <c r="DH102" s="353"/>
      <c r="DI102" s="353"/>
      <c r="DJ102" s="353"/>
      <c r="DK102" s="353"/>
      <c r="DL102" s="353"/>
      <c r="DM102" s="353"/>
      <c r="DN102" s="353"/>
      <c r="DO102" s="353"/>
      <c r="DP102" s="353"/>
      <c r="DQ102" s="353"/>
      <c r="DR102" s="353"/>
      <c r="DS102" s="353"/>
      <c r="DT102" s="353"/>
      <c r="DU102" s="353"/>
      <c r="DV102" s="353"/>
      <c r="DW102" s="353"/>
      <c r="DX102" s="353"/>
      <c r="DY102" s="353"/>
      <c r="DZ102" s="353"/>
      <c r="EA102" s="353"/>
      <c r="EB102" s="353"/>
      <c r="EC102" s="353"/>
    </row>
    <row r="103" spans="2:133" s="354" customFormat="1" ht="15.75">
      <c r="B103" s="355"/>
      <c r="C103" s="353"/>
      <c r="D103" s="353"/>
      <c r="E103" s="353"/>
      <c r="F103" s="353"/>
      <c r="G103" s="353"/>
      <c r="H103" s="353"/>
      <c r="I103" s="353"/>
      <c r="J103" s="353"/>
      <c r="K103" s="353"/>
      <c r="L103" s="353"/>
      <c r="M103" s="353"/>
      <c r="N103" s="353"/>
      <c r="O103" s="353"/>
      <c r="P103" s="353"/>
      <c r="Q103" s="353"/>
      <c r="R103" s="353"/>
      <c r="S103" s="353"/>
      <c r="T103" s="353"/>
      <c r="U103" s="353"/>
      <c r="V103" s="353"/>
      <c r="W103" s="353"/>
      <c r="X103" s="353"/>
      <c r="Y103" s="353"/>
      <c r="Z103" s="353"/>
      <c r="AA103" s="353"/>
      <c r="AB103" s="353"/>
      <c r="AC103" s="353"/>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3"/>
      <c r="AZ103" s="353"/>
      <c r="BA103" s="353"/>
      <c r="BB103" s="353"/>
      <c r="BC103" s="353"/>
      <c r="BD103" s="353"/>
      <c r="BE103" s="353"/>
      <c r="BF103" s="353"/>
      <c r="BG103" s="353"/>
      <c r="BH103" s="353"/>
      <c r="BI103" s="353"/>
      <c r="BJ103" s="353"/>
      <c r="BK103" s="353"/>
      <c r="BL103" s="353"/>
      <c r="BM103" s="353"/>
      <c r="BN103" s="353"/>
      <c r="BO103" s="353"/>
      <c r="BP103" s="353"/>
      <c r="BQ103" s="353"/>
      <c r="BR103" s="353"/>
      <c r="BS103" s="353"/>
      <c r="BT103" s="353"/>
      <c r="BU103" s="353"/>
      <c r="BV103" s="353"/>
      <c r="BW103" s="353"/>
      <c r="BX103" s="353"/>
      <c r="BY103" s="353"/>
      <c r="BZ103" s="353"/>
      <c r="CA103" s="353"/>
      <c r="CB103" s="353"/>
      <c r="CC103" s="353"/>
      <c r="CD103" s="353"/>
      <c r="CE103" s="353"/>
      <c r="CF103" s="353"/>
      <c r="CG103" s="353"/>
      <c r="CH103" s="353"/>
      <c r="CI103" s="353"/>
      <c r="CJ103" s="353"/>
      <c r="CK103" s="353"/>
      <c r="CL103" s="353"/>
      <c r="CM103" s="353"/>
      <c r="CN103" s="353"/>
      <c r="CO103" s="353"/>
      <c r="CP103" s="353"/>
      <c r="CQ103" s="353"/>
      <c r="CR103" s="353"/>
      <c r="CS103" s="353"/>
      <c r="CT103" s="353"/>
      <c r="CU103" s="353"/>
      <c r="CV103" s="353"/>
      <c r="CW103" s="353"/>
      <c r="CX103" s="353"/>
      <c r="CY103" s="353"/>
      <c r="CZ103" s="353"/>
      <c r="DA103" s="353"/>
      <c r="DB103" s="353"/>
      <c r="DC103" s="353"/>
      <c r="DD103" s="353"/>
      <c r="DE103" s="353"/>
      <c r="DF103" s="353"/>
      <c r="DG103" s="353"/>
      <c r="DH103" s="353"/>
      <c r="DI103" s="353"/>
      <c r="DJ103" s="353"/>
      <c r="DK103" s="353"/>
      <c r="DL103" s="353"/>
      <c r="DM103" s="353"/>
      <c r="DN103" s="353"/>
      <c r="DO103" s="353"/>
      <c r="DP103" s="353"/>
      <c r="DQ103" s="353"/>
      <c r="DR103" s="353"/>
      <c r="DS103" s="353"/>
      <c r="DT103" s="353"/>
      <c r="DU103" s="353"/>
      <c r="DV103" s="353"/>
      <c r="DW103" s="353"/>
      <c r="DX103" s="353"/>
      <c r="DY103" s="353"/>
      <c r="DZ103" s="353"/>
      <c r="EA103" s="353"/>
      <c r="EB103" s="353"/>
      <c r="EC103" s="353"/>
    </row>
    <row r="104" spans="2:133" s="354" customFormat="1" ht="15.75">
      <c r="B104" s="353"/>
      <c r="C104" s="353"/>
      <c r="D104" s="353"/>
      <c r="E104" s="353"/>
      <c r="F104" s="353"/>
      <c r="G104" s="353"/>
      <c r="H104" s="353"/>
      <c r="I104" s="353"/>
      <c r="J104" s="353"/>
      <c r="K104" s="353"/>
      <c r="L104" s="353"/>
      <c r="M104" s="353"/>
      <c r="N104" s="353"/>
      <c r="O104" s="353"/>
      <c r="P104" s="353"/>
      <c r="Q104" s="353"/>
      <c r="R104" s="353"/>
      <c r="S104" s="353"/>
      <c r="T104" s="353"/>
      <c r="U104" s="353"/>
      <c r="V104" s="353"/>
      <c r="W104" s="353"/>
      <c r="X104" s="353"/>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3"/>
      <c r="AT104" s="353"/>
      <c r="AU104" s="353"/>
      <c r="AV104" s="353"/>
      <c r="AW104" s="353"/>
      <c r="AX104" s="353"/>
      <c r="AY104" s="353"/>
      <c r="AZ104" s="353"/>
      <c r="BA104" s="353"/>
      <c r="BB104" s="353"/>
      <c r="BC104" s="353"/>
      <c r="BD104" s="353"/>
      <c r="BE104" s="353"/>
      <c r="BF104" s="353"/>
      <c r="BG104" s="353"/>
      <c r="BH104" s="353"/>
      <c r="BI104" s="353"/>
      <c r="BJ104" s="353"/>
      <c r="BK104" s="353"/>
      <c r="BL104" s="353"/>
      <c r="BM104" s="353"/>
      <c r="BN104" s="353"/>
      <c r="BO104" s="353"/>
      <c r="BP104" s="353"/>
      <c r="BQ104" s="353"/>
      <c r="BR104" s="353"/>
      <c r="BS104" s="353"/>
      <c r="BT104" s="353"/>
      <c r="BU104" s="353"/>
      <c r="BV104" s="353"/>
      <c r="BW104" s="353"/>
      <c r="BX104" s="353"/>
      <c r="BY104" s="353"/>
      <c r="BZ104" s="353"/>
      <c r="CA104" s="353"/>
      <c r="CB104" s="353"/>
      <c r="CC104" s="353"/>
      <c r="CD104" s="353"/>
      <c r="CE104" s="353"/>
      <c r="CF104" s="353"/>
      <c r="CG104" s="353"/>
      <c r="CH104" s="353"/>
      <c r="CI104" s="353"/>
      <c r="CJ104" s="353"/>
      <c r="CK104" s="353"/>
      <c r="CL104" s="353"/>
      <c r="CM104" s="353"/>
      <c r="CN104" s="353"/>
      <c r="CO104" s="353"/>
      <c r="CP104" s="353"/>
      <c r="CQ104" s="353"/>
      <c r="CR104" s="353"/>
      <c r="CS104" s="353"/>
      <c r="CT104" s="353"/>
      <c r="CU104" s="353"/>
      <c r="CV104" s="353"/>
      <c r="CW104" s="353"/>
      <c r="CX104" s="353"/>
      <c r="CY104" s="353"/>
      <c r="CZ104" s="353"/>
      <c r="DA104" s="353"/>
      <c r="DB104" s="353"/>
      <c r="DC104" s="353"/>
      <c r="DD104" s="353"/>
      <c r="DE104" s="353"/>
      <c r="DF104" s="353"/>
      <c r="DG104" s="353"/>
      <c r="DH104" s="353"/>
      <c r="DI104" s="353"/>
      <c r="DJ104" s="353"/>
      <c r="DK104" s="353"/>
      <c r="DL104" s="353"/>
      <c r="DM104" s="353"/>
      <c r="DN104" s="353"/>
      <c r="DO104" s="353"/>
      <c r="DP104" s="353"/>
      <c r="DQ104" s="353"/>
      <c r="DR104" s="353"/>
      <c r="DS104" s="353"/>
      <c r="DT104" s="353"/>
      <c r="DU104" s="353"/>
      <c r="DV104" s="353"/>
      <c r="DW104" s="353"/>
      <c r="DX104" s="353"/>
      <c r="DY104" s="353"/>
      <c r="DZ104" s="353"/>
      <c r="EA104" s="353"/>
      <c r="EB104" s="353"/>
      <c r="EC104" s="353"/>
    </row>
    <row r="105" spans="2:133" s="354" customFormat="1" ht="15.75">
      <c r="B105" s="369"/>
      <c r="C105" s="353"/>
      <c r="D105" s="353"/>
      <c r="E105" s="370"/>
      <c r="F105" s="353"/>
      <c r="G105" s="353"/>
      <c r="H105" s="353"/>
      <c r="I105" s="353"/>
      <c r="J105" s="353"/>
      <c r="K105" s="353"/>
      <c r="L105" s="353"/>
      <c r="M105" s="353"/>
      <c r="N105" s="353"/>
      <c r="O105" s="353"/>
      <c r="P105" s="353"/>
      <c r="Q105" s="353"/>
      <c r="R105" s="353"/>
      <c r="S105" s="353"/>
      <c r="T105" s="353"/>
      <c r="U105" s="353"/>
      <c r="V105" s="353"/>
      <c r="W105" s="353"/>
      <c r="X105" s="353"/>
      <c r="Y105" s="353"/>
      <c r="Z105" s="353"/>
      <c r="AA105" s="353"/>
      <c r="AB105" s="353"/>
      <c r="AC105" s="353"/>
      <c r="AD105" s="353"/>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3"/>
      <c r="BB105" s="353"/>
      <c r="BC105" s="353"/>
      <c r="BD105" s="353"/>
      <c r="BE105" s="353"/>
      <c r="BF105" s="353"/>
      <c r="BG105" s="353"/>
      <c r="BH105" s="353"/>
      <c r="BI105" s="353"/>
      <c r="BJ105" s="353"/>
      <c r="BK105" s="353"/>
      <c r="BL105" s="353"/>
      <c r="BM105" s="353"/>
      <c r="BN105" s="353"/>
      <c r="BO105" s="353"/>
      <c r="BP105" s="353"/>
      <c r="BQ105" s="353"/>
      <c r="BR105" s="353"/>
      <c r="BS105" s="353"/>
      <c r="BT105" s="353"/>
      <c r="BU105" s="353"/>
      <c r="BV105" s="353"/>
      <c r="BW105" s="353"/>
      <c r="BX105" s="353"/>
      <c r="BY105" s="353"/>
      <c r="BZ105" s="353"/>
      <c r="CA105" s="353"/>
      <c r="CB105" s="353"/>
      <c r="CC105" s="353"/>
      <c r="CD105" s="353"/>
      <c r="CE105" s="353"/>
      <c r="CF105" s="353"/>
      <c r="CG105" s="353"/>
      <c r="CH105" s="353"/>
      <c r="CI105" s="353"/>
      <c r="CJ105" s="353"/>
      <c r="CK105" s="353"/>
      <c r="CL105" s="353"/>
      <c r="CM105" s="353"/>
      <c r="CN105" s="353"/>
      <c r="CO105" s="353"/>
      <c r="CP105" s="353"/>
      <c r="CQ105" s="353"/>
      <c r="CR105" s="353"/>
      <c r="CS105" s="353"/>
      <c r="CT105" s="353"/>
      <c r="CU105" s="353"/>
      <c r="CV105" s="353"/>
      <c r="CW105" s="353"/>
      <c r="CX105" s="353"/>
      <c r="CY105" s="353"/>
      <c r="CZ105" s="353"/>
      <c r="DA105" s="353"/>
      <c r="DB105" s="353"/>
      <c r="DC105" s="353"/>
      <c r="DD105" s="353"/>
      <c r="DE105" s="353"/>
      <c r="DF105" s="353"/>
      <c r="DG105" s="353"/>
      <c r="DH105" s="353"/>
      <c r="DI105" s="353"/>
      <c r="DJ105" s="353"/>
      <c r="DK105" s="353"/>
      <c r="DL105" s="353"/>
      <c r="DM105" s="353"/>
      <c r="DN105" s="353"/>
      <c r="DO105" s="353"/>
      <c r="DP105" s="353"/>
      <c r="DQ105" s="353"/>
      <c r="DR105" s="353"/>
      <c r="DS105" s="353"/>
      <c r="DT105" s="353"/>
      <c r="DU105" s="353"/>
      <c r="DV105" s="353"/>
      <c r="DW105" s="353"/>
      <c r="DX105" s="353"/>
      <c r="DY105" s="353"/>
      <c r="DZ105" s="353"/>
      <c r="EA105" s="353"/>
      <c r="EB105" s="353"/>
      <c r="EC105" s="353"/>
    </row>
    <row r="106" spans="2:133" s="354" customFormat="1" ht="15.75">
      <c r="B106" s="353"/>
      <c r="C106" s="353"/>
      <c r="D106" s="353"/>
      <c r="E106" s="367"/>
      <c r="F106" s="353"/>
      <c r="G106" s="353"/>
      <c r="H106" s="353"/>
      <c r="I106" s="353"/>
      <c r="J106" s="353"/>
      <c r="K106" s="353"/>
      <c r="L106" s="353"/>
      <c r="M106" s="353"/>
      <c r="N106" s="353"/>
      <c r="O106" s="353"/>
      <c r="P106" s="353"/>
      <c r="Q106" s="353"/>
      <c r="R106" s="353"/>
      <c r="S106" s="353"/>
      <c r="T106" s="353"/>
      <c r="U106" s="353"/>
      <c r="V106" s="353"/>
      <c r="W106" s="353"/>
      <c r="X106" s="353"/>
      <c r="Y106" s="353"/>
      <c r="Z106" s="353"/>
      <c r="AA106" s="353"/>
      <c r="AB106" s="353"/>
      <c r="AC106" s="353"/>
      <c r="AD106" s="353"/>
      <c r="AE106" s="353"/>
      <c r="AF106" s="353"/>
      <c r="AG106" s="353"/>
      <c r="AH106" s="353"/>
      <c r="AI106" s="353"/>
      <c r="AJ106" s="353"/>
      <c r="AK106" s="353"/>
      <c r="AL106" s="353"/>
      <c r="AM106" s="353"/>
      <c r="AN106" s="353"/>
      <c r="AO106" s="353"/>
      <c r="AP106" s="353"/>
      <c r="AQ106" s="353"/>
      <c r="AR106" s="353"/>
      <c r="AS106" s="353"/>
      <c r="AT106" s="353"/>
      <c r="AU106" s="353"/>
      <c r="AV106" s="353"/>
      <c r="AW106" s="353"/>
      <c r="AX106" s="353"/>
      <c r="AY106" s="353"/>
      <c r="AZ106" s="353"/>
      <c r="BA106" s="353"/>
      <c r="BB106" s="353"/>
      <c r="BC106" s="353"/>
      <c r="BD106" s="353"/>
      <c r="BE106" s="353"/>
      <c r="BF106" s="353"/>
      <c r="BG106" s="353"/>
      <c r="BH106" s="353"/>
      <c r="BI106" s="353"/>
      <c r="BJ106" s="353"/>
      <c r="BK106" s="353"/>
      <c r="BL106" s="353"/>
      <c r="BM106" s="353"/>
      <c r="BN106" s="353"/>
      <c r="BO106" s="353"/>
      <c r="BP106" s="353"/>
      <c r="BQ106" s="353"/>
      <c r="BR106" s="353"/>
      <c r="BS106" s="353"/>
      <c r="BT106" s="353"/>
      <c r="BU106" s="353"/>
      <c r="BV106" s="353"/>
      <c r="BW106" s="353"/>
      <c r="BX106" s="353"/>
      <c r="BY106" s="353"/>
      <c r="BZ106" s="353"/>
      <c r="CA106" s="353"/>
      <c r="CB106" s="353"/>
      <c r="CC106" s="353"/>
      <c r="CD106" s="353"/>
      <c r="CE106" s="353"/>
      <c r="CF106" s="353"/>
      <c r="CG106" s="353"/>
      <c r="CH106" s="353"/>
      <c r="CI106" s="353"/>
      <c r="CJ106" s="353"/>
      <c r="CK106" s="353"/>
      <c r="CL106" s="353"/>
      <c r="CM106" s="353"/>
      <c r="CN106" s="353"/>
      <c r="CO106" s="353"/>
      <c r="CP106" s="353"/>
      <c r="CQ106" s="353"/>
      <c r="CR106" s="353"/>
      <c r="CS106" s="353"/>
      <c r="CT106" s="353"/>
      <c r="CU106" s="353"/>
      <c r="CV106" s="353"/>
      <c r="CW106" s="353"/>
      <c r="CX106" s="353"/>
      <c r="CY106" s="353"/>
      <c r="CZ106" s="353"/>
      <c r="DA106" s="353"/>
      <c r="DB106" s="353"/>
      <c r="DC106" s="353"/>
      <c r="DD106" s="353"/>
      <c r="DE106" s="353"/>
      <c r="DF106" s="353"/>
      <c r="DG106" s="353"/>
      <c r="DH106" s="353"/>
      <c r="DI106" s="353"/>
      <c r="DJ106" s="353"/>
      <c r="DK106" s="353"/>
      <c r="DL106" s="353"/>
      <c r="DM106" s="353"/>
      <c r="DN106" s="353"/>
      <c r="DO106" s="353"/>
      <c r="DP106" s="353"/>
      <c r="DQ106" s="353"/>
      <c r="DR106" s="353"/>
      <c r="DS106" s="353"/>
      <c r="DT106" s="353"/>
      <c r="DU106" s="353"/>
      <c r="DV106" s="353"/>
      <c r="DW106" s="353"/>
      <c r="DX106" s="353"/>
      <c r="DY106" s="353"/>
      <c r="DZ106" s="353"/>
      <c r="EA106" s="353"/>
      <c r="EB106" s="353"/>
      <c r="EC106" s="353"/>
    </row>
    <row r="107" spans="2:133" s="354" customFormat="1" ht="15.75">
      <c r="B107" s="353"/>
      <c r="C107" s="353"/>
      <c r="D107" s="353"/>
      <c r="E107" s="368"/>
      <c r="F107" s="353"/>
      <c r="G107" s="353"/>
      <c r="H107" s="353"/>
      <c r="I107" s="353"/>
      <c r="J107" s="353"/>
      <c r="K107" s="353"/>
      <c r="L107" s="353"/>
      <c r="M107" s="353"/>
      <c r="N107" s="353"/>
      <c r="O107" s="353"/>
      <c r="P107" s="353"/>
      <c r="Q107" s="353"/>
      <c r="R107" s="353"/>
      <c r="S107" s="353"/>
      <c r="T107" s="353"/>
      <c r="U107" s="353"/>
      <c r="V107" s="353"/>
      <c r="W107" s="353"/>
      <c r="X107" s="353"/>
      <c r="Y107" s="353"/>
      <c r="Z107" s="353"/>
      <c r="AA107" s="353"/>
      <c r="AB107" s="353"/>
      <c r="AC107" s="353"/>
      <c r="AD107" s="353"/>
      <c r="AE107" s="353"/>
      <c r="AF107" s="353"/>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3"/>
      <c r="BB107" s="353"/>
      <c r="BC107" s="353"/>
      <c r="BD107" s="353"/>
      <c r="BE107" s="353"/>
      <c r="BF107" s="353"/>
      <c r="BG107" s="353"/>
      <c r="BH107" s="353"/>
      <c r="BI107" s="353"/>
      <c r="BJ107" s="353"/>
      <c r="BK107" s="353"/>
      <c r="BL107" s="353"/>
      <c r="BM107" s="353"/>
      <c r="BN107" s="353"/>
      <c r="BO107" s="353"/>
      <c r="BP107" s="353"/>
      <c r="BQ107" s="353"/>
      <c r="BR107" s="353"/>
      <c r="BS107" s="353"/>
      <c r="BT107" s="353"/>
      <c r="BU107" s="353"/>
      <c r="BV107" s="353"/>
      <c r="BW107" s="353"/>
      <c r="BX107" s="353"/>
      <c r="BY107" s="353"/>
      <c r="BZ107" s="353"/>
      <c r="CA107" s="353"/>
      <c r="CB107" s="353"/>
      <c r="CC107" s="353"/>
      <c r="CD107" s="353"/>
      <c r="CE107" s="353"/>
      <c r="CF107" s="353"/>
      <c r="CG107" s="353"/>
      <c r="CH107" s="353"/>
      <c r="CI107" s="353"/>
      <c r="CJ107" s="353"/>
      <c r="CK107" s="353"/>
      <c r="CL107" s="353"/>
      <c r="CM107" s="353"/>
      <c r="CN107" s="353"/>
      <c r="CO107" s="353"/>
      <c r="CP107" s="353"/>
      <c r="CQ107" s="353"/>
      <c r="CR107" s="353"/>
      <c r="CS107" s="353"/>
      <c r="CT107" s="353"/>
      <c r="CU107" s="353"/>
      <c r="CV107" s="353"/>
      <c r="CW107" s="353"/>
      <c r="CX107" s="353"/>
      <c r="CY107" s="353"/>
      <c r="CZ107" s="353"/>
      <c r="DA107" s="353"/>
      <c r="DB107" s="353"/>
      <c r="DC107" s="353"/>
      <c r="DD107" s="353"/>
      <c r="DE107" s="353"/>
      <c r="DF107" s="353"/>
      <c r="DG107" s="353"/>
      <c r="DH107" s="353"/>
      <c r="DI107" s="353"/>
      <c r="DJ107" s="353"/>
      <c r="DK107" s="353"/>
      <c r="DL107" s="353"/>
      <c r="DM107" s="353"/>
      <c r="DN107" s="353"/>
      <c r="DO107" s="353"/>
      <c r="DP107" s="353"/>
      <c r="DQ107" s="353"/>
      <c r="DR107" s="353"/>
      <c r="DS107" s="353"/>
      <c r="DT107" s="353"/>
      <c r="DU107" s="353"/>
      <c r="DV107" s="353"/>
      <c r="DW107" s="353"/>
      <c r="DX107" s="353"/>
      <c r="DY107" s="353"/>
      <c r="DZ107" s="353"/>
      <c r="EA107" s="353"/>
      <c r="EB107" s="353"/>
      <c r="EC107" s="353"/>
    </row>
    <row r="108" spans="2:133" s="354" customFormat="1" ht="15.75">
      <c r="B108" s="353"/>
      <c r="C108" s="353"/>
      <c r="D108" s="353"/>
      <c r="E108" s="367"/>
      <c r="F108" s="353"/>
      <c r="G108" s="353"/>
      <c r="H108" s="353"/>
      <c r="I108" s="353"/>
      <c r="J108" s="353"/>
      <c r="K108" s="353"/>
      <c r="L108" s="353"/>
      <c r="M108" s="353"/>
      <c r="N108" s="353"/>
      <c r="O108" s="353"/>
      <c r="P108" s="353"/>
      <c r="Q108" s="353"/>
      <c r="R108" s="353"/>
      <c r="S108" s="353"/>
      <c r="T108" s="353"/>
      <c r="U108" s="353"/>
      <c r="V108" s="353"/>
      <c r="W108" s="353"/>
      <c r="X108" s="353"/>
      <c r="Y108" s="353"/>
      <c r="Z108" s="353"/>
      <c r="AA108" s="353"/>
      <c r="AB108" s="353"/>
      <c r="AC108" s="353"/>
      <c r="AD108" s="353"/>
      <c r="AE108" s="353"/>
      <c r="AF108" s="353"/>
      <c r="AG108" s="353"/>
      <c r="AH108" s="353"/>
      <c r="AI108" s="353"/>
      <c r="AJ108" s="353"/>
      <c r="AK108" s="353"/>
      <c r="AL108" s="353"/>
      <c r="AM108" s="353"/>
      <c r="AN108" s="353"/>
      <c r="AO108" s="353"/>
      <c r="AP108" s="353"/>
      <c r="AQ108" s="353"/>
      <c r="AR108" s="353"/>
      <c r="AS108" s="353"/>
      <c r="AT108" s="353"/>
      <c r="AU108" s="353"/>
      <c r="AV108" s="353"/>
      <c r="AW108" s="353"/>
      <c r="AX108" s="353"/>
      <c r="AY108" s="353"/>
      <c r="AZ108" s="353"/>
      <c r="BA108" s="353"/>
      <c r="BB108" s="353"/>
      <c r="BC108" s="353"/>
      <c r="BD108" s="353"/>
      <c r="BE108" s="353"/>
      <c r="BF108" s="353"/>
      <c r="BG108" s="353"/>
      <c r="BH108" s="353"/>
      <c r="BI108" s="353"/>
      <c r="BJ108" s="353"/>
      <c r="BK108" s="353"/>
      <c r="BL108" s="353"/>
      <c r="BM108" s="353"/>
      <c r="BN108" s="353"/>
      <c r="BO108" s="353"/>
      <c r="BP108" s="353"/>
      <c r="BQ108" s="353"/>
      <c r="BR108" s="353"/>
      <c r="BS108" s="353"/>
      <c r="BT108" s="353"/>
      <c r="BU108" s="353"/>
      <c r="BV108" s="353"/>
      <c r="BW108" s="353"/>
      <c r="BX108" s="353"/>
      <c r="BY108" s="353"/>
      <c r="BZ108" s="353"/>
      <c r="CA108" s="353"/>
      <c r="CB108" s="353"/>
      <c r="CC108" s="353"/>
      <c r="CD108" s="353"/>
      <c r="CE108" s="353"/>
      <c r="CF108" s="353"/>
      <c r="CG108" s="353"/>
      <c r="CH108" s="353"/>
      <c r="CI108" s="353"/>
      <c r="CJ108" s="353"/>
      <c r="CK108" s="353"/>
      <c r="CL108" s="353"/>
      <c r="CM108" s="353"/>
      <c r="CN108" s="353"/>
      <c r="CO108" s="353"/>
      <c r="CP108" s="353"/>
      <c r="CQ108" s="353"/>
      <c r="CR108" s="353"/>
      <c r="CS108" s="353"/>
      <c r="CT108" s="353"/>
      <c r="CU108" s="353"/>
      <c r="CV108" s="353"/>
      <c r="CW108" s="353"/>
      <c r="CX108" s="353"/>
      <c r="CY108" s="353"/>
      <c r="CZ108" s="353"/>
      <c r="DA108" s="353"/>
      <c r="DB108" s="353"/>
      <c r="DC108" s="353"/>
      <c r="DD108" s="353"/>
      <c r="DE108" s="353"/>
      <c r="DF108" s="353"/>
      <c r="DG108" s="353"/>
      <c r="DH108" s="353"/>
      <c r="DI108" s="353"/>
      <c r="DJ108" s="353"/>
      <c r="DK108" s="353"/>
      <c r="DL108" s="353"/>
      <c r="DM108" s="353"/>
      <c r="DN108" s="353"/>
      <c r="DO108" s="353"/>
      <c r="DP108" s="353"/>
      <c r="DQ108" s="353"/>
      <c r="DR108" s="353"/>
      <c r="DS108" s="353"/>
      <c r="DT108" s="353"/>
      <c r="DU108" s="353"/>
      <c r="DV108" s="353"/>
      <c r="DW108" s="353"/>
      <c r="DX108" s="353"/>
      <c r="DY108" s="353"/>
      <c r="DZ108" s="353"/>
      <c r="EA108" s="353"/>
      <c r="EB108" s="353"/>
      <c r="EC108" s="353"/>
    </row>
    <row r="109" spans="2:133" s="354" customFormat="1" ht="15.75">
      <c r="B109" s="353"/>
      <c r="C109" s="353"/>
      <c r="D109" s="353"/>
      <c r="E109" s="368"/>
      <c r="F109" s="353"/>
      <c r="G109" s="353"/>
      <c r="H109" s="353"/>
      <c r="I109" s="353"/>
      <c r="J109" s="353"/>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353"/>
      <c r="AL109" s="353"/>
      <c r="AM109" s="353"/>
      <c r="AN109" s="353"/>
      <c r="AO109" s="353"/>
      <c r="AP109" s="353"/>
      <c r="AQ109" s="353"/>
      <c r="AR109" s="353"/>
      <c r="AS109" s="353"/>
      <c r="AT109" s="353"/>
      <c r="AU109" s="353"/>
      <c r="AV109" s="353"/>
      <c r="AW109" s="353"/>
      <c r="AX109" s="353"/>
      <c r="AY109" s="353"/>
      <c r="AZ109" s="353"/>
      <c r="BA109" s="353"/>
      <c r="BB109" s="353"/>
      <c r="BC109" s="353"/>
      <c r="BD109" s="353"/>
      <c r="BE109" s="353"/>
      <c r="BF109" s="353"/>
      <c r="BG109" s="353"/>
      <c r="BH109" s="353"/>
      <c r="BI109" s="353"/>
      <c r="BJ109" s="353"/>
      <c r="BK109" s="353"/>
      <c r="BL109" s="353"/>
      <c r="BM109" s="353"/>
      <c r="BN109" s="353"/>
      <c r="BO109" s="353"/>
      <c r="BP109" s="353"/>
      <c r="BQ109" s="353"/>
      <c r="BR109" s="353"/>
      <c r="BS109" s="353"/>
      <c r="BT109" s="353"/>
      <c r="BU109" s="353"/>
      <c r="BV109" s="353"/>
      <c r="BW109" s="353"/>
      <c r="BX109" s="353"/>
      <c r="BY109" s="353"/>
      <c r="BZ109" s="353"/>
      <c r="CA109" s="353"/>
      <c r="CB109" s="353"/>
      <c r="CC109" s="353"/>
      <c r="CD109" s="353"/>
      <c r="CE109" s="353"/>
      <c r="CF109" s="353"/>
      <c r="CG109" s="353"/>
      <c r="CH109" s="353"/>
      <c r="CI109" s="353"/>
      <c r="CJ109" s="353"/>
      <c r="CK109" s="353"/>
      <c r="CL109" s="353"/>
      <c r="CM109" s="353"/>
      <c r="CN109" s="353"/>
      <c r="CO109" s="353"/>
      <c r="CP109" s="353"/>
      <c r="CQ109" s="353"/>
      <c r="CR109" s="353"/>
      <c r="CS109" s="353"/>
      <c r="CT109" s="353"/>
      <c r="CU109" s="353"/>
      <c r="CV109" s="353"/>
      <c r="CW109" s="353"/>
      <c r="CX109" s="353"/>
      <c r="CY109" s="353"/>
      <c r="CZ109" s="353"/>
      <c r="DA109" s="353"/>
      <c r="DB109" s="353"/>
      <c r="DC109" s="353"/>
      <c r="DD109" s="353"/>
      <c r="DE109" s="353"/>
      <c r="DF109" s="353"/>
      <c r="DG109" s="353"/>
      <c r="DH109" s="353"/>
      <c r="DI109" s="353"/>
      <c r="DJ109" s="353"/>
      <c r="DK109" s="353"/>
      <c r="DL109" s="353"/>
      <c r="DM109" s="353"/>
      <c r="DN109" s="353"/>
      <c r="DO109" s="353"/>
      <c r="DP109" s="353"/>
      <c r="DQ109" s="353"/>
      <c r="DR109" s="353"/>
      <c r="DS109" s="353"/>
      <c r="DT109" s="353"/>
      <c r="DU109" s="353"/>
      <c r="DV109" s="353"/>
      <c r="DW109" s="353"/>
      <c r="DX109" s="353"/>
      <c r="DY109" s="353"/>
      <c r="DZ109" s="353"/>
      <c r="EA109" s="353"/>
      <c r="EB109" s="353"/>
      <c r="EC109" s="353"/>
    </row>
    <row r="110" spans="2:133" s="354" customFormat="1" ht="15.75">
      <c r="B110" s="353"/>
      <c r="C110" s="353"/>
      <c r="D110" s="353"/>
      <c r="E110" s="368"/>
      <c r="F110" s="353"/>
      <c r="G110" s="353"/>
      <c r="H110" s="353"/>
      <c r="I110" s="353"/>
      <c r="J110" s="353"/>
      <c r="K110" s="353"/>
      <c r="L110" s="353"/>
      <c r="M110" s="353"/>
      <c r="N110" s="353"/>
      <c r="O110" s="353"/>
      <c r="P110" s="353"/>
      <c r="Q110" s="353"/>
      <c r="R110" s="353"/>
      <c r="S110" s="353"/>
      <c r="T110" s="353"/>
      <c r="U110" s="353"/>
      <c r="V110" s="353"/>
      <c r="W110" s="353"/>
      <c r="X110" s="353"/>
      <c r="Y110" s="353"/>
      <c r="Z110" s="353"/>
      <c r="AA110" s="353"/>
      <c r="AB110" s="353"/>
      <c r="AC110" s="353"/>
      <c r="AD110" s="353"/>
      <c r="AE110" s="353"/>
      <c r="AF110" s="353"/>
      <c r="AG110" s="353"/>
      <c r="AH110" s="353"/>
      <c r="AI110" s="353"/>
      <c r="AJ110" s="353"/>
      <c r="AK110" s="353"/>
      <c r="AL110" s="353"/>
      <c r="AM110" s="353"/>
      <c r="AN110" s="353"/>
      <c r="AO110" s="353"/>
      <c r="AP110" s="353"/>
      <c r="AQ110" s="353"/>
      <c r="AR110" s="353"/>
      <c r="AS110" s="353"/>
      <c r="AT110" s="353"/>
      <c r="AU110" s="353"/>
      <c r="AV110" s="353"/>
      <c r="AW110" s="353"/>
      <c r="AX110" s="353"/>
      <c r="AY110" s="353"/>
      <c r="AZ110" s="353"/>
      <c r="BA110" s="353"/>
      <c r="BB110" s="353"/>
      <c r="BC110" s="353"/>
      <c r="BD110" s="353"/>
      <c r="BE110" s="353"/>
      <c r="BF110" s="353"/>
      <c r="BG110" s="353"/>
      <c r="BH110" s="353"/>
      <c r="BI110" s="353"/>
      <c r="BJ110" s="353"/>
      <c r="BK110" s="353"/>
      <c r="BL110" s="353"/>
      <c r="BM110" s="353"/>
      <c r="BN110" s="353"/>
      <c r="BO110" s="353"/>
      <c r="BP110" s="353"/>
      <c r="BQ110" s="353"/>
      <c r="BR110" s="353"/>
      <c r="BS110" s="353"/>
      <c r="BT110" s="353"/>
      <c r="BU110" s="353"/>
      <c r="BV110" s="353"/>
      <c r="BW110" s="353"/>
      <c r="BX110" s="353"/>
      <c r="BY110" s="353"/>
      <c r="BZ110" s="353"/>
      <c r="CA110" s="353"/>
      <c r="CB110" s="353"/>
      <c r="CC110" s="353"/>
      <c r="CD110" s="353"/>
      <c r="CE110" s="353"/>
      <c r="CF110" s="353"/>
      <c r="CG110" s="353"/>
      <c r="CH110" s="353"/>
      <c r="CI110" s="353"/>
      <c r="CJ110" s="353"/>
      <c r="CK110" s="353"/>
      <c r="CL110" s="353"/>
      <c r="CM110" s="353"/>
      <c r="CN110" s="353"/>
      <c r="CO110" s="353"/>
      <c r="CP110" s="353"/>
      <c r="CQ110" s="353"/>
      <c r="CR110" s="353"/>
      <c r="CS110" s="353"/>
      <c r="CT110" s="353"/>
      <c r="CU110" s="353"/>
      <c r="CV110" s="353"/>
      <c r="CW110" s="353"/>
      <c r="CX110" s="353"/>
      <c r="CY110" s="353"/>
      <c r="CZ110" s="353"/>
      <c r="DA110" s="353"/>
      <c r="DB110" s="353"/>
      <c r="DC110" s="353"/>
      <c r="DD110" s="353"/>
      <c r="DE110" s="353"/>
      <c r="DF110" s="353"/>
      <c r="DG110" s="353"/>
      <c r="DH110" s="353"/>
      <c r="DI110" s="353"/>
      <c r="DJ110" s="353"/>
      <c r="DK110" s="353"/>
      <c r="DL110" s="353"/>
      <c r="DM110" s="353"/>
      <c r="DN110" s="353"/>
      <c r="DO110" s="353"/>
      <c r="DP110" s="353"/>
      <c r="DQ110" s="353"/>
      <c r="DR110" s="353"/>
      <c r="DS110" s="353"/>
      <c r="DT110" s="353"/>
      <c r="DU110" s="353"/>
      <c r="DV110" s="353"/>
      <c r="DW110" s="353"/>
      <c r="DX110" s="353"/>
      <c r="DY110" s="353"/>
      <c r="DZ110" s="353"/>
      <c r="EA110" s="353"/>
      <c r="EB110" s="353"/>
      <c r="EC110" s="353"/>
    </row>
    <row r="111" spans="2:133" s="354" customFormat="1" ht="15.75">
      <c r="B111" s="353"/>
      <c r="C111" s="353"/>
      <c r="D111" s="353"/>
      <c r="E111" s="371"/>
      <c r="F111" s="353"/>
      <c r="G111" s="353"/>
      <c r="H111" s="353"/>
      <c r="I111" s="353"/>
      <c r="J111" s="353"/>
      <c r="K111" s="353"/>
      <c r="L111" s="353"/>
      <c r="M111" s="353"/>
      <c r="N111" s="353"/>
      <c r="O111" s="353"/>
      <c r="P111" s="353"/>
      <c r="Q111" s="353"/>
      <c r="R111" s="353"/>
      <c r="S111" s="353"/>
      <c r="T111" s="353"/>
      <c r="U111" s="353"/>
      <c r="V111" s="353"/>
      <c r="W111" s="353"/>
      <c r="X111" s="353"/>
      <c r="Y111" s="353"/>
      <c r="Z111" s="353"/>
      <c r="AA111" s="353"/>
      <c r="AB111" s="353"/>
      <c r="AC111" s="353"/>
      <c r="AD111" s="353"/>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3"/>
      <c r="BA111" s="353"/>
      <c r="BB111" s="353"/>
      <c r="BC111" s="353"/>
      <c r="BD111" s="353"/>
      <c r="BE111" s="353"/>
      <c r="BF111" s="353"/>
      <c r="BG111" s="353"/>
      <c r="BH111" s="353"/>
      <c r="BI111" s="353"/>
      <c r="BJ111" s="353"/>
      <c r="BK111" s="353"/>
      <c r="BL111" s="353"/>
      <c r="BM111" s="353"/>
      <c r="BN111" s="353"/>
      <c r="BO111" s="353"/>
      <c r="BP111" s="353"/>
      <c r="BQ111" s="353"/>
      <c r="BR111" s="353"/>
      <c r="BS111" s="353"/>
      <c r="BT111" s="353"/>
      <c r="BU111" s="353"/>
      <c r="BV111" s="353"/>
      <c r="BW111" s="353"/>
      <c r="BX111" s="353"/>
      <c r="BY111" s="353"/>
      <c r="BZ111" s="353"/>
      <c r="CA111" s="353"/>
      <c r="CB111" s="353"/>
      <c r="CC111" s="353"/>
      <c r="CD111" s="353"/>
      <c r="CE111" s="353"/>
      <c r="CF111" s="353"/>
      <c r="CG111" s="353"/>
      <c r="CH111" s="353"/>
      <c r="CI111" s="353"/>
      <c r="CJ111" s="353"/>
      <c r="CK111" s="353"/>
      <c r="CL111" s="353"/>
      <c r="CM111" s="353"/>
      <c r="CN111" s="353"/>
      <c r="CO111" s="353"/>
      <c r="CP111" s="353"/>
      <c r="CQ111" s="353"/>
      <c r="CR111" s="353"/>
      <c r="CS111" s="353"/>
      <c r="CT111" s="353"/>
      <c r="CU111" s="353"/>
      <c r="CV111" s="353"/>
      <c r="CW111" s="353"/>
      <c r="CX111" s="353"/>
      <c r="CY111" s="353"/>
      <c r="CZ111" s="353"/>
      <c r="DA111" s="353"/>
      <c r="DB111" s="353"/>
      <c r="DC111" s="353"/>
      <c r="DD111" s="353"/>
      <c r="DE111" s="353"/>
      <c r="DF111" s="353"/>
      <c r="DG111" s="353"/>
      <c r="DH111" s="353"/>
      <c r="DI111" s="353"/>
      <c r="DJ111" s="353"/>
      <c r="DK111" s="353"/>
      <c r="DL111" s="353"/>
      <c r="DM111" s="353"/>
      <c r="DN111" s="353"/>
      <c r="DO111" s="353"/>
      <c r="DP111" s="353"/>
      <c r="DQ111" s="353"/>
      <c r="DR111" s="353"/>
      <c r="DS111" s="353"/>
      <c r="DT111" s="353"/>
      <c r="DU111" s="353"/>
      <c r="DV111" s="353"/>
      <c r="DW111" s="353"/>
      <c r="DX111" s="353"/>
      <c r="DY111" s="353"/>
      <c r="DZ111" s="353"/>
      <c r="EA111" s="353"/>
      <c r="EB111" s="353"/>
      <c r="EC111" s="353"/>
    </row>
    <row r="112" spans="2:133" s="354" customFormat="1" ht="15.75">
      <c r="B112" s="353"/>
      <c r="C112" s="353"/>
      <c r="D112" s="355"/>
      <c r="E112" s="678"/>
      <c r="F112" s="355"/>
      <c r="G112" s="353"/>
      <c r="H112" s="353"/>
      <c r="I112" s="353"/>
      <c r="J112" s="353"/>
      <c r="K112" s="353"/>
      <c r="L112" s="353"/>
      <c r="M112" s="353"/>
      <c r="N112" s="353"/>
      <c r="O112" s="353"/>
      <c r="P112" s="353"/>
      <c r="Q112" s="353"/>
      <c r="R112" s="353"/>
      <c r="S112" s="353"/>
      <c r="T112" s="353"/>
      <c r="U112" s="353"/>
      <c r="V112" s="353"/>
      <c r="W112" s="353"/>
      <c r="X112" s="353"/>
      <c r="Y112" s="353"/>
      <c r="Z112" s="353"/>
      <c r="AA112" s="353"/>
      <c r="AB112" s="353"/>
      <c r="AC112" s="353"/>
      <c r="AD112" s="353"/>
      <c r="AE112" s="353"/>
      <c r="AF112" s="353"/>
      <c r="AG112" s="353"/>
      <c r="AH112" s="353"/>
      <c r="AI112" s="353"/>
      <c r="AJ112" s="353"/>
      <c r="AK112" s="353"/>
      <c r="AL112" s="353"/>
      <c r="AM112" s="353"/>
      <c r="AN112" s="353"/>
      <c r="AO112" s="353"/>
      <c r="AP112" s="353"/>
      <c r="AQ112" s="353"/>
      <c r="AR112" s="353"/>
      <c r="AS112" s="353"/>
      <c r="AT112" s="353"/>
      <c r="AU112" s="353"/>
      <c r="AV112" s="353"/>
      <c r="AW112" s="353"/>
      <c r="AX112" s="353"/>
      <c r="AY112" s="353"/>
      <c r="AZ112" s="353"/>
      <c r="BA112" s="353"/>
      <c r="BB112" s="353"/>
      <c r="BC112" s="353"/>
      <c r="BD112" s="353"/>
      <c r="BE112" s="353"/>
      <c r="BF112" s="353"/>
      <c r="BG112" s="353"/>
      <c r="BH112" s="353"/>
      <c r="BI112" s="353"/>
      <c r="BJ112" s="353"/>
      <c r="BK112" s="353"/>
      <c r="BL112" s="353"/>
      <c r="BM112" s="353"/>
      <c r="BN112" s="353"/>
      <c r="BO112" s="353"/>
      <c r="BP112" s="353"/>
      <c r="BQ112" s="353"/>
      <c r="BR112" s="353"/>
      <c r="BS112" s="353"/>
      <c r="BT112" s="353"/>
      <c r="BU112" s="353"/>
      <c r="BV112" s="353"/>
      <c r="BW112" s="353"/>
      <c r="BX112" s="353"/>
      <c r="BY112" s="353"/>
      <c r="BZ112" s="353"/>
      <c r="CA112" s="353"/>
      <c r="CB112" s="353"/>
      <c r="CC112" s="353"/>
      <c r="CD112" s="353"/>
      <c r="CE112" s="353"/>
      <c r="CF112" s="353"/>
      <c r="CG112" s="353"/>
      <c r="CH112" s="353"/>
      <c r="CI112" s="353"/>
      <c r="CJ112" s="353"/>
      <c r="CK112" s="353"/>
      <c r="CL112" s="353"/>
      <c r="CM112" s="353"/>
      <c r="CN112" s="353"/>
      <c r="CO112" s="353"/>
      <c r="CP112" s="353"/>
      <c r="CQ112" s="353"/>
      <c r="CR112" s="353"/>
      <c r="CS112" s="353"/>
      <c r="CT112" s="353"/>
      <c r="CU112" s="353"/>
      <c r="CV112" s="353"/>
      <c r="CW112" s="353"/>
      <c r="CX112" s="353"/>
      <c r="CY112" s="353"/>
      <c r="CZ112" s="353"/>
      <c r="DA112" s="353"/>
      <c r="DB112" s="353"/>
      <c r="DC112" s="353"/>
      <c r="DD112" s="353"/>
      <c r="DE112" s="353"/>
      <c r="DF112" s="353"/>
      <c r="DG112" s="353"/>
      <c r="DH112" s="353"/>
      <c r="DI112" s="353"/>
      <c r="DJ112" s="353"/>
      <c r="DK112" s="353"/>
      <c r="DL112" s="353"/>
      <c r="DM112" s="353"/>
      <c r="DN112" s="353"/>
      <c r="DO112" s="353"/>
      <c r="DP112" s="353"/>
      <c r="DQ112" s="353"/>
      <c r="DR112" s="353"/>
      <c r="DS112" s="353"/>
      <c r="DT112" s="353"/>
      <c r="DU112" s="353"/>
      <c r="DV112" s="353"/>
      <c r="DW112" s="353"/>
      <c r="DX112" s="353"/>
      <c r="DY112" s="353"/>
      <c r="DZ112" s="353"/>
      <c r="EA112" s="353"/>
      <c r="EB112" s="353"/>
      <c r="EC112" s="353"/>
    </row>
    <row r="113" spans="2:133" s="354" customFormat="1" ht="15.75">
      <c r="B113" s="353"/>
      <c r="C113" s="353"/>
      <c r="D113" s="353"/>
      <c r="E113" s="353"/>
      <c r="F113" s="353"/>
      <c r="G113" s="353"/>
      <c r="H113" s="353"/>
      <c r="I113" s="353"/>
      <c r="J113" s="353"/>
      <c r="K113" s="353"/>
      <c r="L113" s="353"/>
      <c r="M113" s="353"/>
      <c r="N113" s="353"/>
      <c r="O113" s="353"/>
      <c r="P113" s="353"/>
      <c r="Q113" s="353"/>
      <c r="R113" s="353"/>
      <c r="S113" s="353"/>
      <c r="T113" s="353"/>
      <c r="U113" s="353"/>
      <c r="V113" s="353"/>
      <c r="W113" s="353"/>
      <c r="X113" s="353"/>
      <c r="Y113" s="353"/>
      <c r="Z113" s="353"/>
      <c r="AA113" s="353"/>
      <c r="AB113" s="353"/>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c r="AW113" s="353"/>
      <c r="AX113" s="353"/>
      <c r="AY113" s="353"/>
      <c r="AZ113" s="353"/>
      <c r="BA113" s="353"/>
      <c r="BB113" s="353"/>
      <c r="BC113" s="353"/>
      <c r="BD113" s="353"/>
      <c r="BE113" s="353"/>
      <c r="BF113" s="353"/>
      <c r="BG113" s="353"/>
      <c r="BH113" s="353"/>
      <c r="BI113" s="353"/>
      <c r="BJ113" s="353"/>
      <c r="BK113" s="353"/>
      <c r="BL113" s="353"/>
      <c r="BM113" s="353"/>
      <c r="BN113" s="353"/>
      <c r="BO113" s="353"/>
      <c r="BP113" s="353"/>
      <c r="BQ113" s="353"/>
      <c r="BR113" s="353"/>
      <c r="BS113" s="353"/>
      <c r="BT113" s="353"/>
      <c r="BU113" s="353"/>
      <c r="BV113" s="353"/>
      <c r="BW113" s="353"/>
      <c r="BX113" s="353"/>
      <c r="BY113" s="353"/>
      <c r="BZ113" s="353"/>
      <c r="CA113" s="353"/>
      <c r="CB113" s="353"/>
      <c r="CC113" s="353"/>
      <c r="CD113" s="353"/>
      <c r="CE113" s="353"/>
      <c r="CF113" s="353"/>
      <c r="CG113" s="353"/>
      <c r="CH113" s="353"/>
      <c r="CI113" s="353"/>
      <c r="CJ113" s="353"/>
      <c r="CK113" s="353"/>
      <c r="CL113" s="353"/>
      <c r="CM113" s="353"/>
      <c r="CN113" s="353"/>
      <c r="CO113" s="353"/>
      <c r="CP113" s="353"/>
      <c r="CQ113" s="353"/>
      <c r="CR113" s="353"/>
      <c r="CS113" s="353"/>
      <c r="CT113" s="353"/>
      <c r="CU113" s="353"/>
      <c r="CV113" s="353"/>
      <c r="CW113" s="353"/>
      <c r="CX113" s="353"/>
      <c r="CY113" s="353"/>
      <c r="CZ113" s="353"/>
      <c r="DA113" s="353"/>
      <c r="DB113" s="353"/>
      <c r="DC113" s="353"/>
      <c r="DD113" s="353"/>
      <c r="DE113" s="353"/>
      <c r="DF113" s="353"/>
      <c r="DG113" s="353"/>
      <c r="DH113" s="353"/>
      <c r="DI113" s="353"/>
      <c r="DJ113" s="353"/>
      <c r="DK113" s="353"/>
      <c r="DL113" s="353"/>
      <c r="DM113" s="353"/>
      <c r="DN113" s="353"/>
      <c r="DO113" s="353"/>
      <c r="DP113" s="353"/>
      <c r="DQ113" s="353"/>
      <c r="DR113" s="353"/>
      <c r="DS113" s="353"/>
      <c r="DT113" s="353"/>
      <c r="DU113" s="353"/>
      <c r="DV113" s="353"/>
      <c r="DW113" s="353"/>
      <c r="DX113" s="353"/>
      <c r="DY113" s="353"/>
      <c r="DZ113" s="353"/>
      <c r="EA113" s="353"/>
      <c r="EB113" s="353"/>
      <c r="EC113" s="353"/>
    </row>
    <row r="114" spans="2:133" s="354" customFormat="1" ht="15.75">
      <c r="B114" s="372"/>
      <c r="C114" s="353"/>
      <c r="D114" s="353"/>
      <c r="E114" s="353"/>
      <c r="F114" s="353"/>
      <c r="G114" s="353"/>
      <c r="H114" s="353"/>
      <c r="I114" s="353"/>
      <c r="J114" s="353"/>
      <c r="K114" s="353"/>
      <c r="L114" s="353"/>
      <c r="M114" s="353"/>
      <c r="N114" s="353"/>
      <c r="O114" s="353"/>
      <c r="P114" s="353"/>
      <c r="Q114" s="353"/>
      <c r="R114" s="353"/>
      <c r="S114" s="353"/>
      <c r="T114" s="353"/>
      <c r="U114" s="353"/>
      <c r="V114" s="353"/>
      <c r="W114" s="353"/>
      <c r="X114" s="353"/>
      <c r="Y114" s="353"/>
      <c r="Z114" s="353"/>
      <c r="AA114" s="353"/>
      <c r="AB114" s="353"/>
      <c r="AC114" s="353"/>
      <c r="AD114" s="353"/>
      <c r="AE114" s="353"/>
      <c r="AF114" s="353"/>
      <c r="AG114" s="353"/>
      <c r="AH114" s="353"/>
      <c r="AI114" s="353"/>
      <c r="AJ114" s="353"/>
      <c r="AK114" s="353"/>
      <c r="AL114" s="353"/>
      <c r="AM114" s="353"/>
      <c r="AN114" s="353"/>
      <c r="AO114" s="353"/>
      <c r="AP114" s="353"/>
      <c r="AQ114" s="353"/>
      <c r="AR114" s="353"/>
      <c r="AS114" s="353"/>
      <c r="AT114" s="353"/>
      <c r="AU114" s="353"/>
      <c r="AV114" s="353"/>
      <c r="AW114" s="353"/>
      <c r="AX114" s="353"/>
      <c r="AY114" s="353"/>
      <c r="AZ114" s="353"/>
      <c r="BA114" s="353"/>
      <c r="BB114" s="353"/>
      <c r="BC114" s="353"/>
      <c r="BD114" s="353"/>
      <c r="BE114" s="353"/>
      <c r="BF114" s="353"/>
      <c r="BG114" s="353"/>
      <c r="BH114" s="353"/>
      <c r="BI114" s="353"/>
      <c r="BJ114" s="353"/>
      <c r="BK114" s="353"/>
      <c r="BL114" s="353"/>
      <c r="BM114" s="353"/>
      <c r="BN114" s="353"/>
      <c r="BO114" s="353"/>
      <c r="BP114" s="353"/>
      <c r="BQ114" s="353"/>
      <c r="BR114" s="353"/>
      <c r="BS114" s="353"/>
      <c r="BT114" s="353"/>
      <c r="BU114" s="353"/>
      <c r="BV114" s="353"/>
      <c r="BW114" s="353"/>
      <c r="BX114" s="353"/>
      <c r="BY114" s="353"/>
      <c r="BZ114" s="353"/>
      <c r="CA114" s="353"/>
      <c r="CB114" s="353"/>
      <c r="CC114" s="353"/>
      <c r="CD114" s="353"/>
      <c r="CE114" s="353"/>
      <c r="CF114" s="353"/>
      <c r="CG114" s="353"/>
      <c r="CH114" s="353"/>
      <c r="CI114" s="353"/>
      <c r="CJ114" s="353"/>
      <c r="CK114" s="353"/>
      <c r="CL114" s="353"/>
      <c r="CM114" s="353"/>
      <c r="CN114" s="353"/>
      <c r="CO114" s="353"/>
      <c r="CP114" s="353"/>
      <c r="CQ114" s="353"/>
      <c r="CR114" s="353"/>
      <c r="CS114" s="353"/>
      <c r="CT114" s="353"/>
      <c r="CU114" s="353"/>
      <c r="CV114" s="353"/>
      <c r="CW114" s="353"/>
      <c r="CX114" s="353"/>
      <c r="CY114" s="353"/>
      <c r="CZ114" s="353"/>
      <c r="DA114" s="353"/>
      <c r="DB114" s="353"/>
      <c r="DC114" s="353"/>
      <c r="DD114" s="353"/>
      <c r="DE114" s="353"/>
      <c r="DF114" s="353"/>
      <c r="DG114" s="353"/>
      <c r="DH114" s="353"/>
      <c r="DI114" s="353"/>
      <c r="DJ114" s="353"/>
      <c r="DK114" s="353"/>
      <c r="DL114" s="353"/>
      <c r="DM114" s="353"/>
      <c r="DN114" s="353"/>
      <c r="DO114" s="353"/>
      <c r="DP114" s="353"/>
      <c r="DQ114" s="353"/>
      <c r="DR114" s="353"/>
      <c r="DS114" s="353"/>
      <c r="DT114" s="353"/>
      <c r="DU114" s="353"/>
      <c r="DV114" s="353"/>
      <c r="DW114" s="353"/>
      <c r="DX114" s="353"/>
      <c r="DY114" s="353"/>
      <c r="DZ114" s="353"/>
      <c r="EA114" s="353"/>
      <c r="EB114" s="353"/>
      <c r="EC114" s="353"/>
    </row>
    <row r="115" spans="2:133" s="354" customFormat="1" ht="15.75">
      <c r="B115" s="353"/>
      <c r="C115" s="353"/>
      <c r="D115" s="353"/>
      <c r="E115" s="367"/>
      <c r="F115" s="353"/>
      <c r="G115" s="353"/>
      <c r="H115" s="353"/>
      <c r="I115" s="353"/>
      <c r="J115" s="353"/>
      <c r="K115" s="353"/>
      <c r="L115" s="353"/>
      <c r="M115" s="353"/>
      <c r="N115" s="353"/>
      <c r="O115" s="353"/>
      <c r="P115" s="353"/>
      <c r="Q115" s="353"/>
      <c r="R115" s="353"/>
      <c r="S115" s="353"/>
      <c r="T115" s="353"/>
      <c r="U115" s="353"/>
      <c r="V115" s="353"/>
      <c r="W115" s="353"/>
      <c r="X115" s="353"/>
      <c r="Y115" s="353"/>
      <c r="Z115" s="353"/>
      <c r="AA115" s="353"/>
      <c r="AB115" s="353"/>
      <c r="AC115" s="353"/>
      <c r="AD115" s="353"/>
      <c r="AE115" s="353"/>
      <c r="AF115" s="353"/>
      <c r="AG115" s="353"/>
      <c r="AH115" s="353"/>
      <c r="AI115" s="353"/>
      <c r="AJ115" s="353"/>
      <c r="AK115" s="353"/>
      <c r="AL115" s="353"/>
      <c r="AM115" s="353"/>
      <c r="AN115" s="353"/>
      <c r="AO115" s="353"/>
      <c r="AP115" s="353"/>
      <c r="AQ115" s="353"/>
      <c r="AR115" s="353"/>
      <c r="AS115" s="353"/>
      <c r="AT115" s="353"/>
      <c r="AU115" s="353"/>
      <c r="AV115" s="353"/>
      <c r="AW115" s="353"/>
      <c r="AX115" s="353"/>
      <c r="AY115" s="353"/>
      <c r="AZ115" s="353"/>
      <c r="BA115" s="353"/>
      <c r="BB115" s="353"/>
      <c r="BC115" s="353"/>
      <c r="BD115" s="353"/>
      <c r="BE115" s="353"/>
      <c r="BF115" s="353"/>
      <c r="BG115" s="353"/>
      <c r="BH115" s="353"/>
      <c r="BI115" s="353"/>
      <c r="BJ115" s="353"/>
      <c r="BK115" s="353"/>
      <c r="BL115" s="353"/>
      <c r="BM115" s="353"/>
      <c r="BN115" s="353"/>
      <c r="BO115" s="353"/>
      <c r="BP115" s="353"/>
      <c r="BQ115" s="353"/>
      <c r="BR115" s="353"/>
      <c r="BS115" s="353"/>
      <c r="BT115" s="353"/>
      <c r="BU115" s="353"/>
      <c r="BV115" s="353"/>
      <c r="BW115" s="353"/>
      <c r="BX115" s="353"/>
      <c r="BY115" s="353"/>
      <c r="BZ115" s="353"/>
      <c r="CA115" s="353"/>
      <c r="CB115" s="353"/>
      <c r="CC115" s="353"/>
      <c r="CD115" s="353"/>
      <c r="CE115" s="353"/>
      <c r="CF115" s="353"/>
      <c r="CG115" s="353"/>
      <c r="CH115" s="353"/>
      <c r="CI115" s="353"/>
      <c r="CJ115" s="353"/>
      <c r="CK115" s="353"/>
      <c r="CL115" s="353"/>
      <c r="CM115" s="353"/>
      <c r="CN115" s="353"/>
      <c r="CO115" s="353"/>
      <c r="CP115" s="353"/>
      <c r="CQ115" s="353"/>
      <c r="CR115" s="353"/>
      <c r="CS115" s="353"/>
      <c r="CT115" s="353"/>
      <c r="CU115" s="353"/>
      <c r="CV115" s="353"/>
      <c r="CW115" s="353"/>
      <c r="CX115" s="353"/>
      <c r="CY115" s="353"/>
      <c r="CZ115" s="353"/>
      <c r="DA115" s="353"/>
      <c r="DB115" s="353"/>
      <c r="DC115" s="353"/>
      <c r="DD115" s="353"/>
      <c r="DE115" s="353"/>
      <c r="DF115" s="353"/>
      <c r="DG115" s="353"/>
      <c r="DH115" s="353"/>
      <c r="DI115" s="353"/>
      <c r="DJ115" s="353"/>
      <c r="DK115" s="353"/>
      <c r="DL115" s="353"/>
      <c r="DM115" s="353"/>
      <c r="DN115" s="353"/>
      <c r="DO115" s="353"/>
      <c r="DP115" s="353"/>
      <c r="DQ115" s="353"/>
      <c r="DR115" s="353"/>
      <c r="DS115" s="353"/>
      <c r="DT115" s="353"/>
      <c r="DU115" s="353"/>
      <c r="DV115" s="353"/>
      <c r="DW115" s="353"/>
      <c r="DX115" s="353"/>
      <c r="DY115" s="353"/>
      <c r="DZ115" s="353"/>
      <c r="EA115" s="353"/>
      <c r="EB115" s="353"/>
      <c r="EC115" s="353"/>
    </row>
    <row r="116" spans="2:133" s="354" customFormat="1" ht="15.75">
      <c r="B116" s="353"/>
      <c r="C116" s="353"/>
      <c r="D116" s="353"/>
      <c r="E116" s="368"/>
      <c r="F116" s="353"/>
      <c r="G116" s="353"/>
      <c r="H116" s="353"/>
      <c r="I116" s="353"/>
      <c r="J116" s="353"/>
      <c r="K116" s="353"/>
      <c r="L116" s="353"/>
      <c r="M116" s="353"/>
      <c r="N116" s="353"/>
      <c r="O116" s="353"/>
      <c r="P116" s="353"/>
      <c r="Q116" s="353"/>
      <c r="R116" s="353"/>
      <c r="S116" s="353"/>
      <c r="T116" s="353"/>
      <c r="U116" s="353"/>
      <c r="V116" s="353"/>
      <c r="W116" s="353"/>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3"/>
      <c r="BB116" s="353"/>
      <c r="BC116" s="353"/>
      <c r="BD116" s="353"/>
      <c r="BE116" s="353"/>
      <c r="BF116" s="353"/>
      <c r="BG116" s="353"/>
      <c r="BH116" s="353"/>
      <c r="BI116" s="353"/>
      <c r="BJ116" s="353"/>
      <c r="BK116" s="353"/>
      <c r="BL116" s="353"/>
      <c r="BM116" s="353"/>
      <c r="BN116" s="353"/>
      <c r="BO116" s="353"/>
      <c r="BP116" s="353"/>
      <c r="BQ116" s="353"/>
      <c r="BR116" s="353"/>
      <c r="BS116" s="353"/>
      <c r="BT116" s="353"/>
      <c r="BU116" s="353"/>
      <c r="BV116" s="353"/>
      <c r="BW116" s="353"/>
      <c r="BX116" s="353"/>
      <c r="BY116" s="353"/>
      <c r="BZ116" s="353"/>
      <c r="CA116" s="353"/>
      <c r="CB116" s="353"/>
      <c r="CC116" s="353"/>
      <c r="CD116" s="353"/>
      <c r="CE116" s="353"/>
      <c r="CF116" s="353"/>
      <c r="CG116" s="353"/>
      <c r="CH116" s="353"/>
      <c r="CI116" s="353"/>
      <c r="CJ116" s="353"/>
      <c r="CK116" s="353"/>
      <c r="CL116" s="353"/>
      <c r="CM116" s="353"/>
      <c r="CN116" s="353"/>
      <c r="CO116" s="353"/>
      <c r="CP116" s="353"/>
      <c r="CQ116" s="353"/>
      <c r="CR116" s="353"/>
      <c r="CS116" s="353"/>
      <c r="CT116" s="353"/>
      <c r="CU116" s="353"/>
      <c r="CV116" s="353"/>
      <c r="CW116" s="353"/>
      <c r="CX116" s="353"/>
      <c r="CY116" s="353"/>
      <c r="CZ116" s="353"/>
      <c r="DA116" s="353"/>
      <c r="DB116" s="353"/>
      <c r="DC116" s="353"/>
      <c r="DD116" s="353"/>
      <c r="DE116" s="353"/>
      <c r="DF116" s="353"/>
      <c r="DG116" s="353"/>
      <c r="DH116" s="353"/>
      <c r="DI116" s="353"/>
      <c r="DJ116" s="353"/>
      <c r="DK116" s="353"/>
      <c r="DL116" s="353"/>
      <c r="DM116" s="353"/>
      <c r="DN116" s="353"/>
      <c r="DO116" s="353"/>
      <c r="DP116" s="353"/>
      <c r="DQ116" s="353"/>
      <c r="DR116" s="353"/>
      <c r="DS116" s="353"/>
      <c r="DT116" s="353"/>
      <c r="DU116" s="353"/>
      <c r="DV116" s="353"/>
      <c r="DW116" s="353"/>
      <c r="DX116" s="353"/>
      <c r="DY116" s="353"/>
      <c r="DZ116" s="353"/>
      <c r="EA116" s="353"/>
      <c r="EB116" s="353"/>
      <c r="EC116" s="353"/>
    </row>
    <row r="117" spans="2:133" s="354" customFormat="1" ht="15.75">
      <c r="B117" s="353"/>
      <c r="C117" s="353"/>
      <c r="D117" s="353"/>
      <c r="E117" s="367"/>
      <c r="F117" s="353"/>
      <c r="G117" s="353"/>
      <c r="H117" s="353"/>
      <c r="I117" s="353"/>
      <c r="J117" s="353"/>
      <c r="K117" s="353"/>
      <c r="L117" s="353"/>
      <c r="M117" s="353"/>
      <c r="N117" s="353"/>
      <c r="O117" s="353"/>
      <c r="P117" s="353"/>
      <c r="Q117" s="353"/>
      <c r="R117" s="353"/>
      <c r="S117" s="353"/>
      <c r="T117" s="353"/>
      <c r="U117" s="353"/>
      <c r="V117" s="353"/>
      <c r="W117" s="353"/>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3"/>
      <c r="BB117" s="353"/>
      <c r="BC117" s="353"/>
      <c r="BD117" s="353"/>
      <c r="BE117" s="353"/>
      <c r="BF117" s="353"/>
      <c r="BG117" s="353"/>
      <c r="BH117" s="353"/>
      <c r="BI117" s="353"/>
      <c r="BJ117" s="353"/>
      <c r="BK117" s="353"/>
      <c r="BL117" s="353"/>
      <c r="BM117" s="353"/>
      <c r="BN117" s="353"/>
      <c r="BO117" s="353"/>
      <c r="BP117" s="353"/>
      <c r="BQ117" s="353"/>
      <c r="BR117" s="353"/>
      <c r="BS117" s="353"/>
      <c r="BT117" s="353"/>
      <c r="BU117" s="353"/>
      <c r="BV117" s="353"/>
      <c r="BW117" s="353"/>
      <c r="BX117" s="353"/>
      <c r="BY117" s="353"/>
      <c r="BZ117" s="353"/>
      <c r="CA117" s="353"/>
      <c r="CB117" s="353"/>
      <c r="CC117" s="353"/>
      <c r="CD117" s="353"/>
      <c r="CE117" s="353"/>
      <c r="CF117" s="353"/>
      <c r="CG117" s="353"/>
      <c r="CH117" s="353"/>
      <c r="CI117" s="353"/>
      <c r="CJ117" s="353"/>
      <c r="CK117" s="353"/>
      <c r="CL117" s="353"/>
      <c r="CM117" s="353"/>
      <c r="CN117" s="353"/>
      <c r="CO117" s="353"/>
      <c r="CP117" s="353"/>
      <c r="CQ117" s="353"/>
      <c r="CR117" s="353"/>
      <c r="CS117" s="353"/>
      <c r="CT117" s="353"/>
      <c r="CU117" s="353"/>
      <c r="CV117" s="353"/>
      <c r="CW117" s="353"/>
      <c r="CX117" s="353"/>
      <c r="CY117" s="353"/>
      <c r="CZ117" s="353"/>
      <c r="DA117" s="353"/>
      <c r="DB117" s="353"/>
      <c r="DC117" s="353"/>
      <c r="DD117" s="353"/>
      <c r="DE117" s="353"/>
      <c r="DF117" s="353"/>
      <c r="DG117" s="353"/>
      <c r="DH117" s="353"/>
      <c r="DI117" s="353"/>
      <c r="DJ117" s="353"/>
      <c r="DK117" s="353"/>
      <c r="DL117" s="353"/>
      <c r="DM117" s="353"/>
      <c r="DN117" s="353"/>
      <c r="DO117" s="353"/>
      <c r="DP117" s="353"/>
      <c r="DQ117" s="353"/>
      <c r="DR117" s="353"/>
      <c r="DS117" s="353"/>
      <c r="DT117" s="353"/>
      <c r="DU117" s="353"/>
      <c r="DV117" s="353"/>
      <c r="DW117" s="353"/>
      <c r="DX117" s="353"/>
      <c r="DY117" s="353"/>
      <c r="DZ117" s="353"/>
      <c r="EA117" s="353"/>
      <c r="EB117" s="353"/>
      <c r="EC117" s="353"/>
    </row>
    <row r="118" spans="2:133" s="354" customFormat="1" ht="15.75">
      <c r="B118" s="353"/>
      <c r="C118" s="353"/>
      <c r="D118" s="353"/>
      <c r="E118" s="368"/>
      <c r="F118" s="353"/>
      <c r="G118" s="353"/>
      <c r="H118" s="353"/>
      <c r="I118" s="353"/>
      <c r="J118" s="353"/>
      <c r="K118" s="353"/>
      <c r="L118" s="353"/>
      <c r="M118" s="353"/>
      <c r="N118" s="353"/>
      <c r="O118" s="353"/>
      <c r="P118" s="353"/>
      <c r="Q118" s="353"/>
      <c r="R118" s="353"/>
      <c r="S118" s="353"/>
      <c r="T118" s="353"/>
      <c r="U118" s="353"/>
      <c r="V118" s="353"/>
      <c r="W118" s="353"/>
      <c r="X118" s="353"/>
      <c r="Y118" s="353"/>
      <c r="Z118" s="353"/>
      <c r="AA118" s="353"/>
      <c r="AB118" s="353"/>
      <c r="AC118" s="353"/>
      <c r="AD118" s="353"/>
      <c r="AE118" s="353"/>
      <c r="AF118" s="353"/>
      <c r="AG118" s="353"/>
      <c r="AH118" s="353"/>
      <c r="AI118" s="353"/>
      <c r="AJ118" s="353"/>
      <c r="AK118" s="353"/>
      <c r="AL118" s="353"/>
      <c r="AM118" s="353"/>
      <c r="AN118" s="353"/>
      <c r="AO118" s="353"/>
      <c r="AP118" s="353"/>
      <c r="AQ118" s="353"/>
      <c r="AR118" s="353"/>
      <c r="AS118" s="353"/>
      <c r="AT118" s="353"/>
      <c r="AU118" s="353"/>
      <c r="AV118" s="353"/>
      <c r="AW118" s="353"/>
      <c r="AX118" s="353"/>
      <c r="AY118" s="353"/>
      <c r="AZ118" s="353"/>
      <c r="BA118" s="353"/>
      <c r="BB118" s="353"/>
      <c r="BC118" s="353"/>
      <c r="BD118" s="353"/>
      <c r="BE118" s="353"/>
      <c r="BF118" s="353"/>
      <c r="BG118" s="353"/>
      <c r="BH118" s="353"/>
      <c r="BI118" s="353"/>
      <c r="BJ118" s="353"/>
      <c r="BK118" s="353"/>
      <c r="BL118" s="353"/>
      <c r="BM118" s="353"/>
      <c r="BN118" s="353"/>
      <c r="BO118" s="353"/>
      <c r="BP118" s="353"/>
      <c r="BQ118" s="353"/>
      <c r="BR118" s="353"/>
      <c r="BS118" s="353"/>
      <c r="BT118" s="353"/>
      <c r="BU118" s="353"/>
      <c r="BV118" s="353"/>
      <c r="BW118" s="353"/>
      <c r="BX118" s="353"/>
      <c r="BY118" s="353"/>
      <c r="BZ118" s="353"/>
      <c r="CA118" s="353"/>
      <c r="CB118" s="353"/>
      <c r="CC118" s="353"/>
      <c r="CD118" s="353"/>
      <c r="CE118" s="353"/>
      <c r="CF118" s="353"/>
      <c r="CG118" s="353"/>
      <c r="CH118" s="353"/>
      <c r="CI118" s="353"/>
      <c r="CJ118" s="353"/>
      <c r="CK118" s="353"/>
      <c r="CL118" s="353"/>
      <c r="CM118" s="353"/>
      <c r="CN118" s="353"/>
      <c r="CO118" s="353"/>
      <c r="CP118" s="353"/>
      <c r="CQ118" s="353"/>
      <c r="CR118" s="353"/>
      <c r="CS118" s="353"/>
      <c r="CT118" s="353"/>
      <c r="CU118" s="353"/>
      <c r="CV118" s="353"/>
      <c r="CW118" s="353"/>
      <c r="CX118" s="353"/>
      <c r="CY118" s="353"/>
      <c r="CZ118" s="353"/>
      <c r="DA118" s="353"/>
      <c r="DB118" s="353"/>
      <c r="DC118" s="353"/>
      <c r="DD118" s="353"/>
      <c r="DE118" s="353"/>
      <c r="DF118" s="353"/>
      <c r="DG118" s="353"/>
      <c r="DH118" s="353"/>
      <c r="DI118" s="353"/>
      <c r="DJ118" s="353"/>
      <c r="DK118" s="353"/>
      <c r="DL118" s="353"/>
      <c r="DM118" s="353"/>
      <c r="DN118" s="353"/>
      <c r="DO118" s="353"/>
      <c r="DP118" s="353"/>
      <c r="DQ118" s="353"/>
      <c r="DR118" s="353"/>
      <c r="DS118" s="353"/>
      <c r="DT118" s="353"/>
      <c r="DU118" s="353"/>
      <c r="DV118" s="353"/>
      <c r="DW118" s="353"/>
      <c r="DX118" s="353"/>
      <c r="DY118" s="353"/>
      <c r="DZ118" s="353"/>
      <c r="EA118" s="353"/>
      <c r="EB118" s="353"/>
      <c r="EC118" s="353"/>
    </row>
    <row r="119" spans="2:133" s="354" customFormat="1" ht="15.75">
      <c r="B119" s="353"/>
      <c r="C119" s="353"/>
      <c r="D119" s="353"/>
      <c r="E119" s="368"/>
      <c r="F119" s="353"/>
      <c r="G119" s="353"/>
      <c r="H119" s="353"/>
      <c r="I119" s="353"/>
      <c r="J119" s="353"/>
      <c r="K119" s="353"/>
      <c r="L119" s="353"/>
      <c r="M119" s="353"/>
      <c r="N119" s="353"/>
      <c r="O119" s="353"/>
      <c r="P119" s="353"/>
      <c r="Q119" s="353"/>
      <c r="R119" s="353"/>
      <c r="S119" s="353"/>
      <c r="T119" s="353"/>
      <c r="U119" s="353"/>
      <c r="V119" s="353"/>
      <c r="W119" s="353"/>
      <c r="X119" s="353"/>
      <c r="Y119" s="353"/>
      <c r="Z119" s="353"/>
      <c r="AA119" s="353"/>
      <c r="AB119" s="353"/>
      <c r="AC119" s="353"/>
      <c r="AD119" s="353"/>
      <c r="AE119" s="353"/>
      <c r="AF119" s="353"/>
      <c r="AG119" s="353"/>
      <c r="AH119" s="353"/>
      <c r="AI119" s="353"/>
      <c r="AJ119" s="353"/>
      <c r="AK119" s="353"/>
      <c r="AL119" s="353"/>
      <c r="AM119" s="353"/>
      <c r="AN119" s="353"/>
      <c r="AO119" s="353"/>
      <c r="AP119" s="353"/>
      <c r="AQ119" s="353"/>
      <c r="AR119" s="353"/>
      <c r="AS119" s="353"/>
      <c r="AT119" s="353"/>
      <c r="AU119" s="353"/>
      <c r="AV119" s="353"/>
      <c r="AW119" s="353"/>
      <c r="AX119" s="353"/>
      <c r="AY119" s="353"/>
      <c r="AZ119" s="353"/>
      <c r="BA119" s="353"/>
      <c r="BB119" s="353"/>
      <c r="BC119" s="353"/>
      <c r="BD119" s="353"/>
      <c r="BE119" s="353"/>
      <c r="BF119" s="353"/>
      <c r="BG119" s="353"/>
      <c r="BH119" s="353"/>
      <c r="BI119" s="353"/>
      <c r="BJ119" s="353"/>
      <c r="BK119" s="353"/>
      <c r="BL119" s="353"/>
      <c r="BM119" s="353"/>
      <c r="BN119" s="353"/>
      <c r="BO119" s="353"/>
      <c r="BP119" s="353"/>
      <c r="BQ119" s="353"/>
      <c r="BR119" s="353"/>
      <c r="BS119" s="353"/>
      <c r="BT119" s="353"/>
      <c r="BU119" s="353"/>
      <c r="BV119" s="353"/>
      <c r="BW119" s="353"/>
      <c r="BX119" s="353"/>
      <c r="BY119" s="353"/>
      <c r="BZ119" s="353"/>
      <c r="CA119" s="353"/>
      <c r="CB119" s="353"/>
      <c r="CC119" s="353"/>
      <c r="CD119" s="353"/>
      <c r="CE119" s="353"/>
      <c r="CF119" s="353"/>
      <c r="CG119" s="353"/>
      <c r="CH119" s="353"/>
      <c r="CI119" s="353"/>
      <c r="CJ119" s="353"/>
      <c r="CK119" s="353"/>
      <c r="CL119" s="353"/>
      <c r="CM119" s="353"/>
      <c r="CN119" s="353"/>
      <c r="CO119" s="353"/>
      <c r="CP119" s="353"/>
      <c r="CQ119" s="353"/>
      <c r="CR119" s="353"/>
      <c r="CS119" s="353"/>
      <c r="CT119" s="353"/>
      <c r="CU119" s="353"/>
      <c r="CV119" s="353"/>
      <c r="CW119" s="353"/>
      <c r="CX119" s="353"/>
      <c r="CY119" s="353"/>
      <c r="CZ119" s="353"/>
      <c r="DA119" s="353"/>
      <c r="DB119" s="353"/>
      <c r="DC119" s="353"/>
      <c r="DD119" s="353"/>
      <c r="DE119" s="353"/>
      <c r="DF119" s="353"/>
      <c r="DG119" s="353"/>
      <c r="DH119" s="353"/>
      <c r="DI119" s="353"/>
      <c r="DJ119" s="353"/>
      <c r="DK119" s="353"/>
      <c r="DL119" s="353"/>
      <c r="DM119" s="353"/>
      <c r="DN119" s="353"/>
      <c r="DO119" s="353"/>
      <c r="DP119" s="353"/>
      <c r="DQ119" s="353"/>
      <c r="DR119" s="353"/>
      <c r="DS119" s="353"/>
      <c r="DT119" s="353"/>
      <c r="DU119" s="353"/>
      <c r="DV119" s="353"/>
      <c r="DW119" s="353"/>
      <c r="DX119" s="353"/>
      <c r="DY119" s="353"/>
      <c r="DZ119" s="353"/>
      <c r="EA119" s="353"/>
      <c r="EB119" s="353"/>
      <c r="EC119" s="353"/>
    </row>
    <row r="120" spans="2:133" s="354" customFormat="1" ht="15.75">
      <c r="B120" s="353"/>
      <c r="C120" s="353"/>
      <c r="D120" s="353"/>
      <c r="E120" s="371"/>
      <c r="F120" s="353"/>
      <c r="G120" s="353"/>
      <c r="H120" s="353"/>
      <c r="I120" s="353"/>
      <c r="J120" s="353"/>
      <c r="K120" s="353"/>
      <c r="L120" s="353"/>
      <c r="M120" s="353"/>
      <c r="N120" s="353"/>
      <c r="O120" s="353"/>
      <c r="P120" s="353"/>
      <c r="Q120" s="353"/>
      <c r="R120" s="353"/>
      <c r="S120" s="353"/>
      <c r="T120" s="353"/>
      <c r="U120" s="353"/>
      <c r="V120" s="353"/>
      <c r="W120" s="353"/>
      <c r="X120" s="353"/>
      <c r="Y120" s="353"/>
      <c r="Z120" s="353"/>
      <c r="AA120" s="353"/>
      <c r="AB120" s="353"/>
      <c r="AC120" s="353"/>
      <c r="AD120" s="353"/>
      <c r="AE120" s="353"/>
      <c r="AF120" s="353"/>
      <c r="AG120" s="353"/>
      <c r="AH120" s="353"/>
      <c r="AI120" s="353"/>
      <c r="AJ120" s="353"/>
      <c r="AK120" s="353"/>
      <c r="AL120" s="353"/>
      <c r="AM120" s="353"/>
      <c r="AN120" s="353"/>
      <c r="AO120" s="353"/>
      <c r="AP120" s="353"/>
      <c r="AQ120" s="353"/>
      <c r="AR120" s="353"/>
      <c r="AS120" s="353"/>
      <c r="AT120" s="353"/>
      <c r="AU120" s="353"/>
      <c r="AV120" s="353"/>
      <c r="AW120" s="353"/>
      <c r="AX120" s="353"/>
      <c r="AY120" s="353"/>
      <c r="AZ120" s="353"/>
      <c r="BA120" s="353"/>
      <c r="BB120" s="353"/>
      <c r="BC120" s="353"/>
      <c r="BD120" s="353"/>
      <c r="BE120" s="353"/>
      <c r="BF120" s="353"/>
      <c r="BG120" s="353"/>
      <c r="BH120" s="353"/>
      <c r="BI120" s="353"/>
      <c r="BJ120" s="353"/>
      <c r="BK120" s="353"/>
      <c r="BL120" s="353"/>
      <c r="BM120" s="353"/>
      <c r="BN120" s="353"/>
      <c r="BO120" s="353"/>
      <c r="BP120" s="353"/>
      <c r="BQ120" s="353"/>
      <c r="BR120" s="353"/>
      <c r="BS120" s="353"/>
      <c r="BT120" s="353"/>
      <c r="BU120" s="353"/>
      <c r="BV120" s="353"/>
      <c r="BW120" s="353"/>
      <c r="BX120" s="353"/>
      <c r="BY120" s="353"/>
      <c r="BZ120" s="353"/>
      <c r="CA120" s="353"/>
      <c r="CB120" s="353"/>
      <c r="CC120" s="353"/>
      <c r="CD120" s="353"/>
      <c r="CE120" s="353"/>
      <c r="CF120" s="353"/>
      <c r="CG120" s="353"/>
      <c r="CH120" s="353"/>
      <c r="CI120" s="353"/>
      <c r="CJ120" s="353"/>
      <c r="CK120" s="353"/>
      <c r="CL120" s="353"/>
      <c r="CM120" s="353"/>
      <c r="CN120" s="353"/>
      <c r="CO120" s="353"/>
      <c r="CP120" s="353"/>
      <c r="CQ120" s="353"/>
      <c r="CR120" s="353"/>
      <c r="CS120" s="353"/>
      <c r="CT120" s="353"/>
      <c r="CU120" s="353"/>
      <c r="CV120" s="353"/>
      <c r="CW120" s="353"/>
      <c r="CX120" s="353"/>
      <c r="CY120" s="353"/>
      <c r="CZ120" s="353"/>
      <c r="DA120" s="353"/>
      <c r="DB120" s="353"/>
      <c r="DC120" s="353"/>
      <c r="DD120" s="353"/>
      <c r="DE120" s="353"/>
      <c r="DF120" s="353"/>
      <c r="DG120" s="353"/>
      <c r="DH120" s="353"/>
      <c r="DI120" s="353"/>
      <c r="DJ120" s="353"/>
      <c r="DK120" s="353"/>
      <c r="DL120" s="353"/>
      <c r="DM120" s="353"/>
      <c r="DN120" s="353"/>
      <c r="DO120" s="353"/>
      <c r="DP120" s="353"/>
      <c r="DQ120" s="353"/>
      <c r="DR120" s="353"/>
      <c r="DS120" s="353"/>
      <c r="DT120" s="353"/>
      <c r="DU120" s="353"/>
      <c r="DV120" s="353"/>
      <c r="DW120" s="353"/>
      <c r="DX120" s="353"/>
      <c r="DY120" s="353"/>
      <c r="DZ120" s="353"/>
      <c r="EA120" s="353"/>
      <c r="EB120" s="353"/>
      <c r="EC120" s="353"/>
    </row>
    <row r="121" spans="2:133" s="354" customFormat="1" ht="15.75">
      <c r="B121" s="353"/>
      <c r="C121" s="353"/>
      <c r="D121" s="355"/>
      <c r="E121" s="678"/>
      <c r="F121" s="355"/>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3"/>
      <c r="AY121" s="353"/>
      <c r="AZ121" s="353"/>
      <c r="BA121" s="353"/>
      <c r="BB121" s="353"/>
      <c r="BC121" s="353"/>
      <c r="BD121" s="353"/>
      <c r="BE121" s="353"/>
      <c r="BF121" s="353"/>
      <c r="BG121" s="353"/>
      <c r="BH121" s="353"/>
      <c r="BI121" s="353"/>
      <c r="BJ121" s="353"/>
      <c r="BK121" s="353"/>
      <c r="BL121" s="353"/>
      <c r="BM121" s="353"/>
      <c r="BN121" s="353"/>
      <c r="BO121" s="353"/>
      <c r="BP121" s="353"/>
      <c r="BQ121" s="353"/>
      <c r="BR121" s="353"/>
      <c r="BS121" s="353"/>
      <c r="BT121" s="353"/>
      <c r="BU121" s="353"/>
      <c r="BV121" s="353"/>
      <c r="BW121" s="353"/>
      <c r="BX121" s="353"/>
      <c r="BY121" s="353"/>
      <c r="BZ121" s="353"/>
      <c r="CA121" s="353"/>
      <c r="CB121" s="353"/>
      <c r="CC121" s="353"/>
      <c r="CD121" s="353"/>
      <c r="CE121" s="353"/>
      <c r="CF121" s="353"/>
      <c r="CG121" s="353"/>
      <c r="CH121" s="353"/>
      <c r="CI121" s="353"/>
      <c r="CJ121" s="353"/>
      <c r="CK121" s="353"/>
      <c r="CL121" s="353"/>
      <c r="CM121" s="353"/>
      <c r="CN121" s="353"/>
      <c r="CO121" s="353"/>
      <c r="CP121" s="353"/>
      <c r="CQ121" s="353"/>
      <c r="CR121" s="353"/>
      <c r="CS121" s="353"/>
      <c r="CT121" s="353"/>
      <c r="CU121" s="353"/>
      <c r="CV121" s="353"/>
      <c r="CW121" s="353"/>
      <c r="CX121" s="353"/>
      <c r="CY121" s="353"/>
      <c r="CZ121" s="353"/>
      <c r="DA121" s="353"/>
      <c r="DB121" s="353"/>
      <c r="DC121" s="353"/>
      <c r="DD121" s="353"/>
      <c r="DE121" s="353"/>
      <c r="DF121" s="353"/>
      <c r="DG121" s="353"/>
      <c r="DH121" s="353"/>
      <c r="DI121" s="353"/>
      <c r="DJ121" s="353"/>
      <c r="DK121" s="353"/>
      <c r="DL121" s="353"/>
      <c r="DM121" s="353"/>
      <c r="DN121" s="353"/>
      <c r="DO121" s="353"/>
      <c r="DP121" s="353"/>
      <c r="DQ121" s="353"/>
      <c r="DR121" s="353"/>
      <c r="DS121" s="353"/>
      <c r="DT121" s="353"/>
      <c r="DU121" s="353"/>
      <c r="DV121" s="353"/>
      <c r="DW121" s="353"/>
      <c r="DX121" s="353"/>
      <c r="DY121" s="353"/>
      <c r="DZ121" s="353"/>
      <c r="EA121" s="353"/>
      <c r="EB121" s="353"/>
      <c r="EC121" s="353"/>
    </row>
    <row r="122" spans="2:133" s="354" customFormat="1" ht="15.75">
      <c r="B122" s="353"/>
      <c r="C122" s="353"/>
      <c r="D122" s="353"/>
      <c r="E122" s="353"/>
      <c r="F122" s="353"/>
      <c r="G122" s="353"/>
      <c r="H122" s="353"/>
      <c r="I122" s="353"/>
      <c r="J122" s="353"/>
      <c r="K122" s="353"/>
      <c r="L122" s="353"/>
      <c r="M122" s="353"/>
      <c r="N122" s="353"/>
      <c r="O122" s="353"/>
      <c r="P122" s="353"/>
      <c r="Q122" s="353"/>
      <c r="R122" s="353"/>
      <c r="S122" s="353"/>
      <c r="T122" s="353"/>
      <c r="U122" s="353"/>
      <c r="V122" s="353"/>
      <c r="W122" s="353"/>
      <c r="X122" s="353"/>
      <c r="Y122" s="353"/>
      <c r="Z122" s="353"/>
      <c r="AA122" s="353"/>
      <c r="AB122" s="353"/>
      <c r="AC122" s="353"/>
      <c r="AD122" s="353"/>
      <c r="AE122" s="353"/>
      <c r="AF122" s="353"/>
      <c r="AG122" s="353"/>
      <c r="AH122" s="353"/>
      <c r="AI122" s="353"/>
      <c r="AJ122" s="353"/>
      <c r="AK122" s="353"/>
      <c r="AL122" s="353"/>
      <c r="AM122" s="353"/>
      <c r="AN122" s="353"/>
      <c r="AO122" s="353"/>
      <c r="AP122" s="353"/>
      <c r="AQ122" s="353"/>
      <c r="AR122" s="353"/>
      <c r="AS122" s="353"/>
      <c r="AT122" s="353"/>
      <c r="AU122" s="353"/>
      <c r="AV122" s="353"/>
      <c r="AW122" s="353"/>
      <c r="AX122" s="353"/>
      <c r="AY122" s="353"/>
      <c r="AZ122" s="353"/>
      <c r="BA122" s="353"/>
      <c r="BB122" s="353"/>
      <c r="BC122" s="353"/>
      <c r="BD122" s="353"/>
      <c r="BE122" s="353"/>
      <c r="BF122" s="353"/>
      <c r="BG122" s="353"/>
      <c r="BH122" s="353"/>
      <c r="BI122" s="353"/>
      <c r="BJ122" s="353"/>
      <c r="BK122" s="353"/>
      <c r="BL122" s="353"/>
      <c r="BM122" s="353"/>
      <c r="BN122" s="353"/>
      <c r="BO122" s="353"/>
      <c r="BP122" s="353"/>
      <c r="BQ122" s="353"/>
      <c r="BR122" s="353"/>
      <c r="BS122" s="353"/>
      <c r="BT122" s="353"/>
      <c r="BU122" s="353"/>
      <c r="BV122" s="353"/>
      <c r="BW122" s="353"/>
      <c r="BX122" s="353"/>
      <c r="BY122" s="353"/>
      <c r="BZ122" s="353"/>
      <c r="CA122" s="353"/>
      <c r="CB122" s="353"/>
      <c r="CC122" s="353"/>
      <c r="CD122" s="353"/>
      <c r="CE122" s="353"/>
      <c r="CF122" s="353"/>
      <c r="CG122" s="353"/>
      <c r="CH122" s="353"/>
      <c r="CI122" s="353"/>
      <c r="CJ122" s="353"/>
      <c r="CK122" s="353"/>
      <c r="CL122" s="353"/>
      <c r="CM122" s="353"/>
      <c r="CN122" s="353"/>
      <c r="CO122" s="353"/>
      <c r="CP122" s="353"/>
      <c r="CQ122" s="353"/>
      <c r="CR122" s="353"/>
      <c r="CS122" s="353"/>
      <c r="CT122" s="353"/>
      <c r="CU122" s="353"/>
      <c r="CV122" s="353"/>
      <c r="CW122" s="353"/>
      <c r="CX122" s="353"/>
      <c r="CY122" s="353"/>
      <c r="CZ122" s="353"/>
      <c r="DA122" s="353"/>
      <c r="DB122" s="353"/>
      <c r="DC122" s="353"/>
      <c r="DD122" s="353"/>
      <c r="DE122" s="353"/>
      <c r="DF122" s="353"/>
      <c r="DG122" s="353"/>
      <c r="DH122" s="353"/>
      <c r="DI122" s="353"/>
      <c r="DJ122" s="353"/>
      <c r="DK122" s="353"/>
      <c r="DL122" s="353"/>
      <c r="DM122" s="353"/>
      <c r="DN122" s="353"/>
      <c r="DO122" s="353"/>
      <c r="DP122" s="353"/>
      <c r="DQ122" s="353"/>
      <c r="DR122" s="353"/>
      <c r="DS122" s="353"/>
      <c r="DT122" s="353"/>
      <c r="DU122" s="353"/>
      <c r="DV122" s="353"/>
      <c r="DW122" s="353"/>
      <c r="DX122" s="353"/>
      <c r="DY122" s="353"/>
      <c r="DZ122" s="353"/>
      <c r="EA122" s="353"/>
      <c r="EB122" s="353"/>
      <c r="EC122" s="353"/>
    </row>
    <row r="123" spans="2:133" s="354" customFormat="1" ht="15.75">
      <c r="B123" s="679"/>
      <c r="C123" s="370"/>
      <c r="D123" s="370"/>
      <c r="E123" s="680"/>
      <c r="F123" s="679"/>
      <c r="G123" s="353"/>
      <c r="H123" s="353"/>
      <c r="I123" s="353"/>
      <c r="J123" s="353"/>
      <c r="K123" s="353"/>
      <c r="L123" s="353"/>
      <c r="M123" s="353"/>
      <c r="N123" s="353"/>
      <c r="O123" s="353"/>
      <c r="P123" s="353"/>
      <c r="Q123" s="353"/>
      <c r="R123" s="353"/>
      <c r="S123" s="353"/>
      <c r="T123" s="353"/>
      <c r="U123" s="353"/>
      <c r="V123" s="353"/>
      <c r="W123" s="353"/>
      <c r="X123" s="353"/>
      <c r="Y123" s="353"/>
      <c r="Z123" s="353"/>
      <c r="AA123" s="353"/>
      <c r="AB123" s="353"/>
      <c r="AC123" s="353"/>
      <c r="AD123" s="353"/>
      <c r="AE123" s="353"/>
      <c r="AF123" s="353"/>
      <c r="AG123" s="353"/>
      <c r="AH123" s="353"/>
      <c r="AI123" s="353"/>
      <c r="AJ123" s="353"/>
      <c r="AK123" s="353"/>
      <c r="AL123" s="353"/>
      <c r="AM123" s="353"/>
      <c r="AN123" s="353"/>
      <c r="AO123" s="353"/>
      <c r="AP123" s="353"/>
      <c r="AQ123" s="353"/>
      <c r="AR123" s="353"/>
      <c r="AS123" s="353"/>
      <c r="AT123" s="353"/>
      <c r="AU123" s="353"/>
      <c r="AV123" s="353"/>
      <c r="AW123" s="353"/>
      <c r="AX123" s="353"/>
      <c r="AY123" s="353"/>
      <c r="AZ123" s="353"/>
      <c r="BA123" s="353"/>
      <c r="BB123" s="353"/>
      <c r="BC123" s="353"/>
      <c r="BD123" s="353"/>
      <c r="BE123" s="353"/>
      <c r="BF123" s="353"/>
      <c r="BG123" s="353"/>
      <c r="BH123" s="353"/>
      <c r="BI123" s="353"/>
      <c r="BJ123" s="353"/>
      <c r="BK123" s="353"/>
      <c r="BL123" s="353"/>
      <c r="BM123" s="353"/>
      <c r="BN123" s="353"/>
      <c r="BO123" s="353"/>
      <c r="BP123" s="353"/>
      <c r="BQ123" s="353"/>
      <c r="BR123" s="353"/>
      <c r="BS123" s="353"/>
      <c r="BT123" s="353"/>
      <c r="BU123" s="353"/>
      <c r="BV123" s="353"/>
      <c r="BW123" s="353"/>
      <c r="BX123" s="353"/>
      <c r="BY123" s="353"/>
      <c r="BZ123" s="353"/>
      <c r="CA123" s="353"/>
      <c r="CB123" s="353"/>
      <c r="CC123" s="353"/>
      <c r="CD123" s="353"/>
      <c r="CE123" s="353"/>
      <c r="CF123" s="353"/>
      <c r="CG123" s="353"/>
      <c r="CH123" s="353"/>
      <c r="CI123" s="353"/>
      <c r="CJ123" s="353"/>
      <c r="CK123" s="353"/>
      <c r="CL123" s="353"/>
      <c r="CM123" s="353"/>
      <c r="CN123" s="353"/>
      <c r="CO123" s="353"/>
      <c r="CP123" s="353"/>
      <c r="CQ123" s="353"/>
      <c r="CR123" s="353"/>
      <c r="CS123" s="353"/>
      <c r="CT123" s="353"/>
      <c r="CU123" s="353"/>
      <c r="CV123" s="353"/>
      <c r="CW123" s="353"/>
      <c r="CX123" s="353"/>
      <c r="CY123" s="353"/>
      <c r="CZ123" s="353"/>
      <c r="DA123" s="353"/>
      <c r="DB123" s="353"/>
      <c r="DC123" s="353"/>
      <c r="DD123" s="353"/>
      <c r="DE123" s="353"/>
      <c r="DF123" s="353"/>
      <c r="DG123" s="353"/>
      <c r="DH123" s="353"/>
      <c r="DI123" s="353"/>
      <c r="DJ123" s="353"/>
      <c r="DK123" s="353"/>
      <c r="DL123" s="353"/>
      <c r="DM123" s="353"/>
      <c r="DN123" s="353"/>
      <c r="DO123" s="353"/>
      <c r="DP123" s="353"/>
      <c r="DQ123" s="353"/>
      <c r="DR123" s="353"/>
      <c r="DS123" s="353"/>
      <c r="DT123" s="353"/>
      <c r="DU123" s="353"/>
      <c r="DV123" s="353"/>
      <c r="DW123" s="353"/>
      <c r="DX123" s="353"/>
      <c r="DY123" s="353"/>
      <c r="DZ123" s="353"/>
      <c r="EA123" s="353"/>
      <c r="EB123" s="353"/>
      <c r="EC123" s="353"/>
    </row>
    <row r="124" spans="2:133" s="354" customFormat="1" ht="15.75">
      <c r="B124" s="353"/>
      <c r="C124" s="353"/>
      <c r="D124" s="353"/>
      <c r="E124" s="353"/>
      <c r="F124" s="353"/>
      <c r="G124" s="353"/>
      <c r="H124" s="353"/>
      <c r="I124" s="353"/>
      <c r="J124" s="353"/>
      <c r="K124" s="353"/>
      <c r="L124" s="353"/>
      <c r="M124" s="353"/>
      <c r="N124" s="353"/>
      <c r="O124" s="353"/>
      <c r="P124" s="353"/>
      <c r="Q124" s="353"/>
      <c r="R124" s="353"/>
      <c r="S124" s="353"/>
      <c r="T124" s="353"/>
      <c r="U124" s="353"/>
      <c r="V124" s="353"/>
      <c r="W124" s="353"/>
      <c r="X124" s="353"/>
      <c r="Y124" s="353"/>
      <c r="Z124" s="353"/>
      <c r="AA124" s="353"/>
      <c r="AB124" s="353"/>
      <c r="AC124" s="353"/>
      <c r="AD124" s="353"/>
      <c r="AE124" s="353"/>
      <c r="AF124" s="353"/>
      <c r="AG124" s="353"/>
      <c r="AH124" s="353"/>
      <c r="AI124" s="353"/>
      <c r="AJ124" s="353"/>
      <c r="AK124" s="353"/>
      <c r="AL124" s="353"/>
      <c r="AM124" s="353"/>
      <c r="AN124" s="353"/>
      <c r="AO124" s="353"/>
      <c r="AP124" s="353"/>
      <c r="AQ124" s="353"/>
      <c r="AR124" s="353"/>
      <c r="AS124" s="353"/>
      <c r="AT124" s="353"/>
      <c r="AU124" s="353"/>
      <c r="AV124" s="353"/>
      <c r="AW124" s="353"/>
      <c r="AX124" s="353"/>
      <c r="AY124" s="353"/>
      <c r="AZ124" s="353"/>
      <c r="BA124" s="353"/>
      <c r="BB124" s="353"/>
      <c r="BC124" s="353"/>
      <c r="BD124" s="353"/>
      <c r="BE124" s="353"/>
      <c r="BF124" s="353"/>
      <c r="BG124" s="353"/>
      <c r="BH124" s="353"/>
      <c r="BI124" s="353"/>
      <c r="BJ124" s="353"/>
      <c r="BK124" s="353"/>
      <c r="BL124" s="353"/>
      <c r="BM124" s="353"/>
      <c r="BN124" s="353"/>
      <c r="BO124" s="353"/>
      <c r="BP124" s="353"/>
      <c r="BQ124" s="353"/>
      <c r="BR124" s="353"/>
      <c r="BS124" s="353"/>
      <c r="BT124" s="353"/>
      <c r="BU124" s="353"/>
      <c r="BV124" s="353"/>
      <c r="BW124" s="353"/>
      <c r="BX124" s="353"/>
      <c r="BY124" s="353"/>
      <c r="BZ124" s="353"/>
      <c r="CA124" s="353"/>
      <c r="CB124" s="353"/>
      <c r="CC124" s="353"/>
      <c r="CD124" s="353"/>
      <c r="CE124" s="353"/>
      <c r="CF124" s="353"/>
      <c r="CG124" s="353"/>
      <c r="CH124" s="353"/>
      <c r="CI124" s="353"/>
      <c r="CJ124" s="353"/>
      <c r="CK124" s="353"/>
      <c r="CL124" s="353"/>
      <c r="CM124" s="353"/>
      <c r="CN124" s="353"/>
      <c r="CO124" s="353"/>
      <c r="CP124" s="353"/>
      <c r="CQ124" s="353"/>
      <c r="CR124" s="353"/>
      <c r="CS124" s="353"/>
      <c r="CT124" s="353"/>
      <c r="CU124" s="353"/>
      <c r="CV124" s="353"/>
      <c r="CW124" s="353"/>
      <c r="CX124" s="353"/>
      <c r="CY124" s="353"/>
      <c r="CZ124" s="353"/>
      <c r="DA124" s="353"/>
      <c r="DB124" s="353"/>
      <c r="DC124" s="353"/>
      <c r="DD124" s="353"/>
      <c r="DE124" s="353"/>
      <c r="DF124" s="353"/>
      <c r="DG124" s="353"/>
      <c r="DH124" s="353"/>
      <c r="DI124" s="353"/>
      <c r="DJ124" s="353"/>
      <c r="DK124" s="353"/>
      <c r="DL124" s="353"/>
      <c r="DM124" s="353"/>
      <c r="DN124" s="353"/>
      <c r="DO124" s="353"/>
      <c r="DP124" s="353"/>
      <c r="DQ124" s="353"/>
      <c r="DR124" s="353"/>
      <c r="DS124" s="353"/>
      <c r="DT124" s="353"/>
      <c r="DU124" s="353"/>
      <c r="DV124" s="353"/>
      <c r="DW124" s="353"/>
      <c r="DX124" s="353"/>
      <c r="DY124" s="353"/>
      <c r="DZ124" s="353"/>
      <c r="EA124" s="353"/>
      <c r="EB124" s="353"/>
      <c r="EC124" s="353"/>
    </row>
    <row r="125" spans="2:133" s="373" customFormat="1" ht="18.75">
      <c r="B125" s="365"/>
      <c r="C125" s="355"/>
      <c r="D125" s="355"/>
      <c r="E125" s="355"/>
      <c r="F125" s="355"/>
      <c r="G125" s="355"/>
      <c r="H125" s="355"/>
      <c r="I125" s="355"/>
      <c r="J125" s="355"/>
      <c r="K125" s="355"/>
      <c r="L125" s="355"/>
      <c r="M125" s="355"/>
      <c r="N125" s="355"/>
      <c r="O125" s="355"/>
      <c r="P125" s="355"/>
      <c r="Q125" s="355"/>
      <c r="R125" s="355"/>
      <c r="S125" s="355"/>
      <c r="T125" s="355"/>
      <c r="U125" s="355"/>
      <c r="V125" s="355"/>
      <c r="W125" s="355"/>
      <c r="X125" s="355"/>
      <c r="Y125" s="355"/>
      <c r="Z125" s="355"/>
      <c r="AA125" s="355"/>
      <c r="AB125" s="355"/>
      <c r="AC125" s="355"/>
      <c r="AD125" s="355"/>
      <c r="AE125" s="355"/>
      <c r="AF125" s="355"/>
      <c r="AG125" s="355"/>
      <c r="AH125" s="355"/>
      <c r="AI125" s="355"/>
      <c r="AJ125" s="355"/>
      <c r="AK125" s="355"/>
      <c r="AL125" s="355"/>
      <c r="AM125" s="355"/>
      <c r="AN125" s="355"/>
      <c r="AO125" s="355"/>
      <c r="AP125" s="355"/>
      <c r="AQ125" s="355"/>
      <c r="AR125" s="355"/>
      <c r="AS125" s="355"/>
      <c r="AT125" s="355"/>
      <c r="AU125" s="355"/>
      <c r="AV125" s="355"/>
      <c r="AW125" s="355"/>
      <c r="AX125" s="355"/>
      <c r="AY125" s="355"/>
      <c r="AZ125" s="355"/>
      <c r="BA125" s="355"/>
      <c r="BB125" s="355"/>
      <c r="BC125" s="355"/>
      <c r="BD125" s="355"/>
      <c r="BE125" s="355"/>
      <c r="BF125" s="355"/>
      <c r="BG125" s="355"/>
      <c r="BH125" s="355"/>
      <c r="BI125" s="355"/>
      <c r="BJ125" s="355"/>
      <c r="BK125" s="355"/>
      <c r="BL125" s="355"/>
      <c r="BM125" s="355"/>
      <c r="BN125" s="355"/>
      <c r="BO125" s="355"/>
      <c r="BP125" s="355"/>
      <c r="BQ125" s="355"/>
      <c r="BR125" s="355"/>
      <c r="BS125" s="355"/>
      <c r="BT125" s="355"/>
      <c r="BU125" s="355"/>
      <c r="BV125" s="355"/>
      <c r="BW125" s="355"/>
      <c r="BX125" s="355"/>
      <c r="BY125" s="355"/>
      <c r="BZ125" s="355"/>
      <c r="CA125" s="355"/>
      <c r="CB125" s="355"/>
      <c r="CC125" s="355"/>
      <c r="CD125" s="355"/>
      <c r="CE125" s="355"/>
      <c r="CF125" s="355"/>
      <c r="CG125" s="355"/>
      <c r="CH125" s="355"/>
      <c r="CI125" s="355"/>
      <c r="CJ125" s="355"/>
      <c r="CK125" s="355"/>
      <c r="CL125" s="355"/>
      <c r="CM125" s="355"/>
      <c r="CN125" s="355"/>
      <c r="CO125" s="355"/>
      <c r="CP125" s="355"/>
      <c r="CQ125" s="355"/>
      <c r="CR125" s="355"/>
      <c r="CS125" s="355"/>
      <c r="CT125" s="355"/>
      <c r="CU125" s="355"/>
      <c r="CV125" s="355"/>
      <c r="CW125" s="355"/>
      <c r="CX125" s="355"/>
      <c r="CY125" s="355"/>
      <c r="CZ125" s="355"/>
      <c r="DA125" s="355"/>
      <c r="DB125" s="355"/>
      <c r="DC125" s="355"/>
      <c r="DD125" s="355"/>
      <c r="DE125" s="355"/>
      <c r="DF125" s="355"/>
      <c r="DG125" s="355"/>
      <c r="DH125" s="355"/>
      <c r="DI125" s="355"/>
      <c r="DJ125" s="355"/>
      <c r="DK125" s="355"/>
      <c r="DL125" s="355"/>
      <c r="DM125" s="355"/>
      <c r="DN125" s="355"/>
      <c r="DO125" s="355"/>
      <c r="DP125" s="355"/>
      <c r="DQ125" s="355"/>
      <c r="DR125" s="355"/>
      <c r="DS125" s="355"/>
      <c r="DT125" s="355"/>
      <c r="DU125" s="355"/>
      <c r="DV125" s="355"/>
      <c r="DW125" s="355"/>
      <c r="DX125" s="355"/>
      <c r="DY125" s="355"/>
      <c r="DZ125" s="355"/>
      <c r="EA125" s="355"/>
      <c r="EB125" s="355"/>
      <c r="EC125" s="355"/>
    </row>
    <row r="126" spans="2:133" s="373" customFormat="1" ht="15.75">
      <c r="B126" s="355"/>
      <c r="C126" s="355"/>
      <c r="D126" s="355"/>
      <c r="E126" s="355"/>
      <c r="F126" s="355"/>
      <c r="G126" s="355"/>
      <c r="H126" s="355"/>
      <c r="I126" s="355"/>
      <c r="J126" s="355"/>
      <c r="K126" s="355"/>
      <c r="L126" s="355"/>
      <c r="M126" s="355"/>
      <c r="N126" s="355"/>
      <c r="O126" s="355"/>
      <c r="P126" s="355"/>
      <c r="Q126" s="355"/>
      <c r="R126" s="355"/>
      <c r="S126" s="355"/>
      <c r="T126" s="355"/>
      <c r="U126" s="355"/>
      <c r="V126" s="355"/>
      <c r="W126" s="355"/>
      <c r="X126" s="355"/>
      <c r="Y126" s="355"/>
      <c r="Z126" s="355"/>
      <c r="AA126" s="355"/>
      <c r="AB126" s="355"/>
      <c r="AC126" s="355"/>
      <c r="AD126" s="355"/>
      <c r="AE126" s="355"/>
      <c r="AF126" s="355"/>
      <c r="AG126" s="355"/>
      <c r="AH126" s="355"/>
      <c r="AI126" s="355"/>
      <c r="AJ126" s="355"/>
      <c r="AK126" s="355"/>
      <c r="AL126" s="355"/>
      <c r="AM126" s="355"/>
      <c r="AN126" s="355"/>
      <c r="AO126" s="355"/>
      <c r="AP126" s="355"/>
      <c r="AQ126" s="355"/>
      <c r="AR126" s="355"/>
      <c r="AS126" s="355"/>
      <c r="AT126" s="355"/>
      <c r="AU126" s="355"/>
      <c r="AV126" s="355"/>
      <c r="AW126" s="355"/>
      <c r="AX126" s="355"/>
      <c r="AY126" s="355"/>
      <c r="AZ126" s="355"/>
      <c r="BA126" s="355"/>
      <c r="BB126" s="355"/>
      <c r="BC126" s="355"/>
      <c r="BD126" s="355"/>
      <c r="BE126" s="355"/>
      <c r="BF126" s="355"/>
      <c r="BG126" s="355"/>
      <c r="BH126" s="355"/>
      <c r="BI126" s="355"/>
      <c r="BJ126" s="355"/>
      <c r="BK126" s="355"/>
      <c r="BL126" s="355"/>
      <c r="BM126" s="355"/>
      <c r="BN126" s="355"/>
      <c r="BO126" s="355"/>
      <c r="BP126" s="355"/>
      <c r="BQ126" s="355"/>
      <c r="BR126" s="355"/>
      <c r="BS126" s="355"/>
      <c r="BT126" s="355"/>
      <c r="BU126" s="355"/>
      <c r="BV126" s="355"/>
      <c r="BW126" s="355"/>
      <c r="BX126" s="355"/>
      <c r="BY126" s="355"/>
      <c r="BZ126" s="355"/>
      <c r="CA126" s="355"/>
      <c r="CB126" s="355"/>
      <c r="CC126" s="355"/>
      <c r="CD126" s="355"/>
      <c r="CE126" s="355"/>
      <c r="CF126" s="355"/>
      <c r="CG126" s="355"/>
      <c r="CH126" s="355"/>
      <c r="CI126" s="355"/>
      <c r="CJ126" s="355"/>
      <c r="CK126" s="355"/>
      <c r="CL126" s="355"/>
      <c r="CM126" s="355"/>
      <c r="CN126" s="355"/>
      <c r="CO126" s="355"/>
      <c r="CP126" s="355"/>
      <c r="CQ126" s="355"/>
      <c r="CR126" s="355"/>
      <c r="CS126" s="355"/>
      <c r="CT126" s="355"/>
      <c r="CU126" s="355"/>
      <c r="CV126" s="355"/>
      <c r="CW126" s="355"/>
      <c r="CX126" s="355"/>
      <c r="CY126" s="355"/>
      <c r="CZ126" s="355"/>
      <c r="DA126" s="355"/>
      <c r="DB126" s="355"/>
      <c r="DC126" s="355"/>
      <c r="DD126" s="355"/>
      <c r="DE126" s="355"/>
      <c r="DF126" s="355"/>
      <c r="DG126" s="355"/>
      <c r="DH126" s="355"/>
      <c r="DI126" s="355"/>
      <c r="DJ126" s="355"/>
      <c r="DK126" s="355"/>
      <c r="DL126" s="355"/>
      <c r="DM126" s="355"/>
      <c r="DN126" s="355"/>
      <c r="DO126" s="355"/>
      <c r="DP126" s="355"/>
      <c r="DQ126" s="355"/>
      <c r="DR126" s="355"/>
      <c r="DS126" s="355"/>
      <c r="DT126" s="355"/>
      <c r="DU126" s="355"/>
      <c r="DV126" s="355"/>
      <c r="DW126" s="355"/>
      <c r="DX126" s="355"/>
      <c r="DY126" s="355"/>
      <c r="DZ126" s="355"/>
      <c r="EA126" s="355"/>
      <c r="EB126" s="355"/>
      <c r="EC126" s="355"/>
    </row>
    <row r="127" spans="2:133" s="354" customFormat="1" ht="15.75">
      <c r="B127" s="353"/>
      <c r="C127" s="353"/>
      <c r="D127" s="353"/>
      <c r="E127" s="353"/>
      <c r="F127" s="353"/>
      <c r="G127" s="353"/>
      <c r="H127" s="353"/>
      <c r="I127" s="353"/>
      <c r="J127" s="353"/>
      <c r="K127" s="353"/>
      <c r="L127" s="353"/>
      <c r="M127" s="353"/>
      <c r="N127" s="353"/>
      <c r="O127" s="353"/>
      <c r="P127" s="353"/>
      <c r="Q127" s="353"/>
      <c r="R127" s="353"/>
      <c r="S127" s="353"/>
      <c r="T127" s="353"/>
      <c r="U127" s="353"/>
      <c r="V127" s="353"/>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3"/>
      <c r="AV127" s="353"/>
      <c r="AW127" s="353"/>
      <c r="AX127" s="353"/>
      <c r="AY127" s="353"/>
      <c r="AZ127" s="353"/>
      <c r="BA127" s="353"/>
      <c r="BB127" s="353"/>
      <c r="BC127" s="353"/>
      <c r="BD127" s="353"/>
      <c r="BE127" s="353"/>
      <c r="BF127" s="353"/>
      <c r="BG127" s="353"/>
      <c r="BH127" s="353"/>
      <c r="BI127" s="353"/>
      <c r="BJ127" s="353"/>
      <c r="BK127" s="353"/>
      <c r="BL127" s="353"/>
      <c r="BM127" s="353"/>
      <c r="BN127" s="353"/>
      <c r="BO127" s="353"/>
      <c r="BP127" s="353"/>
      <c r="BQ127" s="353"/>
      <c r="BR127" s="353"/>
      <c r="BS127" s="353"/>
      <c r="BT127" s="353"/>
      <c r="BU127" s="353"/>
      <c r="BV127" s="353"/>
      <c r="BW127" s="353"/>
      <c r="BX127" s="353"/>
      <c r="BY127" s="353"/>
      <c r="BZ127" s="353"/>
      <c r="CA127" s="353"/>
      <c r="CB127" s="353"/>
      <c r="CC127" s="353"/>
      <c r="CD127" s="353"/>
      <c r="CE127" s="353"/>
      <c r="CF127" s="353"/>
      <c r="CG127" s="353"/>
      <c r="CH127" s="353"/>
      <c r="CI127" s="353"/>
      <c r="CJ127" s="353"/>
      <c r="CK127" s="353"/>
      <c r="CL127" s="353"/>
      <c r="CM127" s="353"/>
      <c r="CN127" s="353"/>
      <c r="CO127" s="353"/>
      <c r="CP127" s="353"/>
      <c r="CQ127" s="353"/>
      <c r="CR127" s="353"/>
      <c r="CS127" s="353"/>
      <c r="CT127" s="353"/>
      <c r="CU127" s="353"/>
      <c r="CV127" s="353"/>
      <c r="CW127" s="353"/>
      <c r="CX127" s="353"/>
      <c r="CY127" s="353"/>
      <c r="CZ127" s="353"/>
      <c r="DA127" s="353"/>
      <c r="DB127" s="353"/>
      <c r="DC127" s="353"/>
      <c r="DD127" s="353"/>
      <c r="DE127" s="353"/>
      <c r="DF127" s="353"/>
      <c r="DG127" s="353"/>
      <c r="DH127" s="353"/>
      <c r="DI127" s="353"/>
      <c r="DJ127" s="353"/>
      <c r="DK127" s="353"/>
      <c r="DL127" s="353"/>
      <c r="DM127" s="353"/>
      <c r="DN127" s="353"/>
      <c r="DO127" s="353"/>
      <c r="DP127" s="353"/>
      <c r="DQ127" s="353"/>
      <c r="DR127" s="353"/>
      <c r="DS127" s="353"/>
      <c r="DT127" s="353"/>
      <c r="DU127" s="353"/>
      <c r="DV127" s="353"/>
      <c r="DW127" s="353"/>
      <c r="DX127" s="353"/>
      <c r="DY127" s="353"/>
      <c r="DZ127" s="353"/>
      <c r="EA127" s="353"/>
      <c r="EB127" s="353"/>
      <c r="EC127" s="353"/>
    </row>
    <row r="128" spans="2:133" s="354" customFormat="1" ht="15.75">
      <c r="B128" s="353"/>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3"/>
      <c r="AY128" s="353"/>
      <c r="AZ128" s="353"/>
      <c r="BA128" s="353"/>
      <c r="BB128" s="353"/>
      <c r="BC128" s="353"/>
      <c r="BD128" s="353"/>
      <c r="BE128" s="353"/>
      <c r="BF128" s="353"/>
      <c r="BG128" s="353"/>
      <c r="BH128" s="353"/>
      <c r="BI128" s="353"/>
      <c r="BJ128" s="353"/>
      <c r="BK128" s="353"/>
      <c r="BL128" s="353"/>
      <c r="BM128" s="353"/>
      <c r="BN128" s="353"/>
      <c r="BO128" s="353"/>
      <c r="BP128" s="353"/>
      <c r="BQ128" s="353"/>
      <c r="BR128" s="353"/>
      <c r="BS128" s="353"/>
      <c r="BT128" s="353"/>
      <c r="BU128" s="353"/>
      <c r="BV128" s="353"/>
      <c r="BW128" s="353"/>
      <c r="BX128" s="353"/>
      <c r="BY128" s="353"/>
      <c r="BZ128" s="353"/>
      <c r="CA128" s="353"/>
      <c r="CB128" s="353"/>
      <c r="CC128" s="353"/>
      <c r="CD128" s="353"/>
      <c r="CE128" s="353"/>
      <c r="CF128" s="353"/>
      <c r="CG128" s="353"/>
      <c r="CH128" s="353"/>
      <c r="CI128" s="353"/>
      <c r="CJ128" s="353"/>
      <c r="CK128" s="353"/>
      <c r="CL128" s="353"/>
      <c r="CM128" s="353"/>
      <c r="CN128" s="353"/>
      <c r="CO128" s="353"/>
      <c r="CP128" s="353"/>
      <c r="CQ128" s="353"/>
      <c r="CR128" s="353"/>
      <c r="CS128" s="353"/>
      <c r="CT128" s="353"/>
      <c r="CU128" s="353"/>
      <c r="CV128" s="353"/>
      <c r="CW128" s="353"/>
      <c r="CX128" s="353"/>
      <c r="CY128" s="353"/>
      <c r="CZ128" s="353"/>
      <c r="DA128" s="353"/>
      <c r="DB128" s="353"/>
      <c r="DC128" s="353"/>
      <c r="DD128" s="353"/>
      <c r="DE128" s="353"/>
      <c r="DF128" s="353"/>
      <c r="DG128" s="353"/>
      <c r="DH128" s="353"/>
      <c r="DI128" s="353"/>
      <c r="DJ128" s="353"/>
      <c r="DK128" s="353"/>
      <c r="DL128" s="353"/>
      <c r="DM128" s="353"/>
      <c r="DN128" s="353"/>
      <c r="DO128" s="353"/>
      <c r="DP128" s="353"/>
      <c r="DQ128" s="353"/>
      <c r="DR128" s="353"/>
      <c r="DS128" s="353"/>
      <c r="DT128" s="353"/>
      <c r="DU128" s="353"/>
      <c r="DV128" s="353"/>
      <c r="DW128" s="353"/>
      <c r="DX128" s="353"/>
      <c r="DY128" s="353"/>
      <c r="DZ128" s="353"/>
      <c r="EA128" s="353"/>
      <c r="EB128" s="353"/>
      <c r="EC128" s="353"/>
    </row>
    <row r="129" spans="2:133" s="354" customFormat="1" ht="15.75">
      <c r="B129" s="353"/>
      <c r="C129" s="374"/>
      <c r="D129" s="353"/>
      <c r="E129" s="353"/>
      <c r="F129" s="353"/>
      <c r="G129" s="353"/>
      <c r="H129" s="353"/>
      <c r="I129" s="353"/>
      <c r="J129" s="353"/>
      <c r="K129" s="353"/>
      <c r="L129" s="353"/>
      <c r="M129" s="353"/>
      <c r="N129" s="353"/>
      <c r="O129" s="353"/>
      <c r="P129" s="353"/>
      <c r="Q129" s="353"/>
      <c r="R129" s="353"/>
      <c r="S129" s="353"/>
      <c r="T129" s="353"/>
      <c r="U129" s="353"/>
      <c r="V129" s="353"/>
      <c r="W129" s="353"/>
      <c r="X129" s="353"/>
      <c r="Y129" s="353"/>
      <c r="Z129" s="353"/>
      <c r="AA129" s="353"/>
      <c r="AB129" s="353"/>
      <c r="AC129" s="353"/>
      <c r="AD129" s="353"/>
      <c r="AE129" s="353"/>
      <c r="AF129" s="353"/>
      <c r="AG129" s="353"/>
      <c r="AH129" s="353"/>
      <c r="AI129" s="353"/>
      <c r="AJ129" s="353"/>
      <c r="AK129" s="353"/>
      <c r="AL129" s="353"/>
      <c r="AM129" s="353"/>
      <c r="AN129" s="353"/>
      <c r="AO129" s="353"/>
      <c r="AP129" s="353"/>
      <c r="AQ129" s="353"/>
      <c r="AR129" s="353"/>
      <c r="AS129" s="353"/>
      <c r="AT129" s="353"/>
      <c r="AU129" s="353"/>
      <c r="AV129" s="353"/>
      <c r="AW129" s="353"/>
      <c r="AX129" s="353"/>
      <c r="AY129" s="353"/>
      <c r="AZ129" s="353"/>
      <c r="BA129" s="353"/>
      <c r="BB129" s="353"/>
      <c r="BC129" s="353"/>
      <c r="BD129" s="353"/>
      <c r="BE129" s="353"/>
      <c r="BF129" s="353"/>
      <c r="BG129" s="353"/>
      <c r="BH129" s="353"/>
      <c r="BI129" s="353"/>
      <c r="BJ129" s="353"/>
      <c r="BK129" s="353"/>
      <c r="BL129" s="353"/>
      <c r="BM129" s="353"/>
      <c r="BN129" s="353"/>
      <c r="BO129" s="353"/>
      <c r="BP129" s="353"/>
      <c r="BQ129" s="353"/>
      <c r="BR129" s="353"/>
      <c r="BS129" s="353"/>
      <c r="BT129" s="353"/>
      <c r="BU129" s="353"/>
      <c r="BV129" s="353"/>
      <c r="BW129" s="353"/>
      <c r="BX129" s="353"/>
      <c r="BY129" s="353"/>
      <c r="BZ129" s="353"/>
      <c r="CA129" s="353"/>
      <c r="CB129" s="353"/>
      <c r="CC129" s="353"/>
      <c r="CD129" s="353"/>
      <c r="CE129" s="353"/>
      <c r="CF129" s="353"/>
      <c r="CG129" s="353"/>
      <c r="CH129" s="353"/>
      <c r="CI129" s="353"/>
      <c r="CJ129" s="353"/>
      <c r="CK129" s="353"/>
      <c r="CL129" s="353"/>
      <c r="CM129" s="353"/>
      <c r="CN129" s="353"/>
      <c r="CO129" s="353"/>
      <c r="CP129" s="353"/>
      <c r="CQ129" s="353"/>
      <c r="CR129" s="353"/>
      <c r="CS129" s="353"/>
      <c r="CT129" s="353"/>
      <c r="CU129" s="353"/>
      <c r="CV129" s="353"/>
      <c r="CW129" s="353"/>
      <c r="CX129" s="353"/>
      <c r="CY129" s="353"/>
      <c r="CZ129" s="353"/>
      <c r="DA129" s="353"/>
      <c r="DB129" s="353"/>
      <c r="DC129" s="353"/>
      <c r="DD129" s="353"/>
      <c r="DE129" s="353"/>
      <c r="DF129" s="353"/>
      <c r="DG129" s="353"/>
      <c r="DH129" s="353"/>
      <c r="DI129" s="353"/>
      <c r="DJ129" s="353"/>
      <c r="DK129" s="353"/>
      <c r="DL129" s="353"/>
      <c r="DM129" s="353"/>
      <c r="DN129" s="353"/>
      <c r="DO129" s="353"/>
      <c r="DP129" s="353"/>
      <c r="DQ129" s="353"/>
      <c r="DR129" s="353"/>
      <c r="DS129" s="353"/>
      <c r="DT129" s="353"/>
      <c r="DU129" s="353"/>
      <c r="DV129" s="353"/>
      <c r="DW129" s="353"/>
      <c r="DX129" s="353"/>
      <c r="DY129" s="353"/>
      <c r="DZ129" s="353"/>
      <c r="EA129" s="353"/>
      <c r="EB129" s="353"/>
      <c r="EC129" s="353"/>
    </row>
    <row r="130" spans="2:133" s="354" customFormat="1" ht="15.75">
      <c r="B130" s="353"/>
      <c r="C130" s="374"/>
      <c r="D130" s="353"/>
      <c r="E130" s="353"/>
      <c r="F130" s="353"/>
      <c r="G130" s="353"/>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353"/>
      <c r="AY130" s="353"/>
      <c r="AZ130" s="353"/>
      <c r="BA130" s="353"/>
      <c r="BB130" s="353"/>
      <c r="BC130" s="353"/>
      <c r="BD130" s="353"/>
      <c r="BE130" s="353"/>
      <c r="BF130" s="353"/>
      <c r="BG130" s="353"/>
      <c r="BH130" s="353"/>
      <c r="BI130" s="353"/>
      <c r="BJ130" s="353"/>
      <c r="BK130" s="353"/>
      <c r="BL130" s="353"/>
      <c r="BM130" s="353"/>
      <c r="BN130" s="353"/>
      <c r="BO130" s="353"/>
      <c r="BP130" s="353"/>
      <c r="BQ130" s="353"/>
      <c r="BR130" s="353"/>
      <c r="BS130" s="353"/>
      <c r="BT130" s="353"/>
      <c r="BU130" s="353"/>
      <c r="BV130" s="353"/>
      <c r="BW130" s="353"/>
      <c r="BX130" s="353"/>
      <c r="BY130" s="353"/>
      <c r="BZ130" s="353"/>
      <c r="CA130" s="353"/>
      <c r="CB130" s="353"/>
      <c r="CC130" s="353"/>
      <c r="CD130" s="353"/>
      <c r="CE130" s="353"/>
      <c r="CF130" s="353"/>
      <c r="CG130" s="353"/>
      <c r="CH130" s="353"/>
      <c r="CI130" s="353"/>
      <c r="CJ130" s="353"/>
      <c r="CK130" s="353"/>
      <c r="CL130" s="353"/>
      <c r="CM130" s="353"/>
      <c r="CN130" s="353"/>
      <c r="CO130" s="353"/>
      <c r="CP130" s="353"/>
      <c r="CQ130" s="353"/>
      <c r="CR130" s="353"/>
      <c r="CS130" s="353"/>
      <c r="CT130" s="353"/>
      <c r="CU130" s="353"/>
      <c r="CV130" s="353"/>
      <c r="CW130" s="353"/>
      <c r="CX130" s="353"/>
      <c r="CY130" s="353"/>
      <c r="CZ130" s="353"/>
      <c r="DA130" s="353"/>
      <c r="DB130" s="353"/>
      <c r="DC130" s="353"/>
      <c r="DD130" s="353"/>
      <c r="DE130" s="353"/>
      <c r="DF130" s="353"/>
      <c r="DG130" s="353"/>
      <c r="DH130" s="353"/>
      <c r="DI130" s="353"/>
      <c r="DJ130" s="353"/>
      <c r="DK130" s="353"/>
      <c r="DL130" s="353"/>
      <c r="DM130" s="353"/>
      <c r="DN130" s="353"/>
      <c r="DO130" s="353"/>
      <c r="DP130" s="353"/>
      <c r="DQ130" s="353"/>
      <c r="DR130" s="353"/>
      <c r="DS130" s="353"/>
      <c r="DT130" s="353"/>
      <c r="DU130" s="353"/>
      <c r="DV130" s="353"/>
      <c r="DW130" s="353"/>
      <c r="DX130" s="353"/>
      <c r="DY130" s="353"/>
      <c r="DZ130" s="353"/>
      <c r="EA130" s="353"/>
      <c r="EB130" s="353"/>
      <c r="EC130" s="353"/>
    </row>
    <row r="131" spans="2:133" s="354" customFormat="1" ht="15.75">
      <c r="B131" s="353"/>
      <c r="C131" s="353"/>
      <c r="D131" s="353"/>
      <c r="E131" s="353"/>
      <c r="F131" s="353"/>
      <c r="G131" s="353"/>
      <c r="H131" s="353"/>
      <c r="I131" s="353"/>
      <c r="J131" s="353"/>
      <c r="K131" s="353"/>
      <c r="L131" s="353"/>
      <c r="M131" s="353"/>
      <c r="N131" s="353"/>
      <c r="O131" s="353"/>
      <c r="P131" s="353"/>
      <c r="Q131" s="353"/>
      <c r="R131" s="353"/>
      <c r="S131" s="353"/>
      <c r="T131" s="353"/>
      <c r="U131" s="353"/>
      <c r="V131" s="353"/>
      <c r="W131" s="353"/>
      <c r="X131" s="353"/>
      <c r="Y131" s="353"/>
      <c r="Z131" s="353"/>
      <c r="AA131" s="353"/>
      <c r="AB131" s="353"/>
      <c r="AC131" s="353"/>
      <c r="AD131" s="353"/>
      <c r="AE131" s="353"/>
      <c r="AF131" s="353"/>
      <c r="AG131" s="353"/>
      <c r="AH131" s="353"/>
      <c r="AI131" s="353"/>
      <c r="AJ131" s="353"/>
      <c r="AK131" s="353"/>
      <c r="AL131" s="353"/>
      <c r="AM131" s="353"/>
      <c r="AN131" s="353"/>
      <c r="AO131" s="353"/>
      <c r="AP131" s="353"/>
      <c r="AQ131" s="353"/>
      <c r="AR131" s="353"/>
      <c r="AS131" s="353"/>
      <c r="AT131" s="353"/>
      <c r="AU131" s="353"/>
      <c r="AV131" s="353"/>
      <c r="AW131" s="353"/>
      <c r="AX131" s="353"/>
      <c r="AY131" s="353"/>
      <c r="AZ131" s="353"/>
      <c r="BA131" s="353"/>
      <c r="BB131" s="353"/>
      <c r="BC131" s="353"/>
      <c r="BD131" s="353"/>
      <c r="BE131" s="353"/>
      <c r="BF131" s="353"/>
      <c r="BG131" s="353"/>
      <c r="BH131" s="353"/>
      <c r="BI131" s="353"/>
      <c r="BJ131" s="353"/>
      <c r="BK131" s="353"/>
      <c r="BL131" s="353"/>
      <c r="BM131" s="353"/>
      <c r="BN131" s="353"/>
      <c r="BO131" s="353"/>
      <c r="BP131" s="353"/>
      <c r="BQ131" s="353"/>
      <c r="BR131" s="353"/>
      <c r="BS131" s="353"/>
      <c r="BT131" s="353"/>
      <c r="BU131" s="353"/>
      <c r="BV131" s="353"/>
      <c r="BW131" s="353"/>
      <c r="BX131" s="353"/>
      <c r="BY131" s="353"/>
      <c r="BZ131" s="353"/>
      <c r="CA131" s="353"/>
      <c r="CB131" s="353"/>
      <c r="CC131" s="353"/>
      <c r="CD131" s="353"/>
      <c r="CE131" s="353"/>
      <c r="CF131" s="353"/>
      <c r="CG131" s="353"/>
      <c r="CH131" s="353"/>
      <c r="CI131" s="353"/>
      <c r="CJ131" s="353"/>
      <c r="CK131" s="353"/>
      <c r="CL131" s="353"/>
      <c r="CM131" s="353"/>
      <c r="CN131" s="353"/>
      <c r="CO131" s="353"/>
      <c r="CP131" s="353"/>
      <c r="CQ131" s="353"/>
      <c r="CR131" s="353"/>
      <c r="CS131" s="353"/>
      <c r="CT131" s="353"/>
      <c r="CU131" s="353"/>
      <c r="CV131" s="353"/>
      <c r="CW131" s="353"/>
      <c r="CX131" s="353"/>
      <c r="CY131" s="353"/>
      <c r="CZ131" s="353"/>
      <c r="DA131" s="353"/>
      <c r="DB131" s="353"/>
      <c r="DC131" s="353"/>
      <c r="DD131" s="353"/>
      <c r="DE131" s="353"/>
      <c r="DF131" s="353"/>
      <c r="DG131" s="353"/>
      <c r="DH131" s="353"/>
      <c r="DI131" s="353"/>
      <c r="DJ131" s="353"/>
      <c r="DK131" s="353"/>
      <c r="DL131" s="353"/>
      <c r="DM131" s="353"/>
      <c r="DN131" s="353"/>
      <c r="DO131" s="353"/>
      <c r="DP131" s="353"/>
      <c r="DQ131" s="353"/>
      <c r="DR131" s="353"/>
      <c r="DS131" s="353"/>
      <c r="DT131" s="353"/>
      <c r="DU131" s="353"/>
      <c r="DV131" s="353"/>
      <c r="DW131" s="353"/>
      <c r="DX131" s="353"/>
      <c r="DY131" s="353"/>
      <c r="DZ131" s="353"/>
      <c r="EA131" s="353"/>
      <c r="EB131" s="353"/>
      <c r="EC131" s="353"/>
    </row>
    <row r="132" spans="2:133" s="354" customFormat="1" ht="15.75">
      <c r="B132" s="353"/>
      <c r="C132" s="353"/>
      <c r="D132" s="353"/>
      <c r="E132" s="353"/>
      <c r="F132" s="353"/>
      <c r="H132" s="353"/>
      <c r="I132" s="353"/>
      <c r="J132" s="353"/>
      <c r="K132" s="353"/>
      <c r="L132" s="353"/>
      <c r="M132" s="353"/>
      <c r="N132" s="353"/>
      <c r="O132" s="353"/>
      <c r="P132" s="353"/>
      <c r="Q132" s="353"/>
      <c r="R132" s="353"/>
      <c r="S132" s="353"/>
      <c r="T132" s="353"/>
      <c r="U132" s="353"/>
      <c r="V132" s="353"/>
      <c r="W132" s="353"/>
      <c r="X132" s="353"/>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3"/>
      <c r="AV132" s="353"/>
      <c r="AW132" s="353"/>
      <c r="AX132" s="353"/>
      <c r="AY132" s="353"/>
      <c r="AZ132" s="353"/>
      <c r="BA132" s="353"/>
      <c r="BB132" s="353"/>
      <c r="BC132" s="353"/>
      <c r="BD132" s="353"/>
      <c r="BE132" s="353"/>
      <c r="BF132" s="353"/>
      <c r="BG132" s="353"/>
      <c r="BH132" s="353"/>
      <c r="BI132" s="353"/>
      <c r="BJ132" s="353"/>
      <c r="BK132" s="353"/>
      <c r="BL132" s="353"/>
      <c r="BM132" s="353"/>
      <c r="BN132" s="353"/>
      <c r="BO132" s="353"/>
      <c r="BP132" s="353"/>
      <c r="BQ132" s="353"/>
      <c r="BR132" s="353"/>
      <c r="BS132" s="353"/>
      <c r="BT132" s="353"/>
      <c r="BU132" s="353"/>
      <c r="BV132" s="353"/>
      <c r="BW132" s="353"/>
      <c r="BX132" s="353"/>
      <c r="BY132" s="353"/>
      <c r="BZ132" s="353"/>
      <c r="CA132" s="353"/>
      <c r="CB132" s="353"/>
      <c r="CC132" s="353"/>
      <c r="CD132" s="353"/>
      <c r="CE132" s="353"/>
      <c r="CF132" s="353"/>
      <c r="CG132" s="353"/>
      <c r="CH132" s="353"/>
      <c r="CI132" s="353"/>
      <c r="CJ132" s="353"/>
      <c r="CK132" s="353"/>
      <c r="CL132" s="353"/>
      <c r="CM132" s="353"/>
      <c r="CN132" s="353"/>
      <c r="CO132" s="353"/>
      <c r="CP132" s="353"/>
      <c r="CQ132" s="353"/>
      <c r="CR132" s="353"/>
      <c r="CS132" s="353"/>
      <c r="CT132" s="353"/>
      <c r="CU132" s="353"/>
      <c r="CV132" s="353"/>
      <c r="CW132" s="353"/>
      <c r="CX132" s="353"/>
      <c r="CY132" s="353"/>
      <c r="CZ132" s="353"/>
      <c r="DA132" s="353"/>
      <c r="DB132" s="353"/>
      <c r="DC132" s="353"/>
      <c r="DD132" s="353"/>
      <c r="DE132" s="353"/>
      <c r="DF132" s="353"/>
      <c r="DG132" s="353"/>
      <c r="DH132" s="353"/>
      <c r="DI132" s="353"/>
      <c r="DJ132" s="353"/>
      <c r="DK132" s="353"/>
      <c r="DL132" s="353"/>
      <c r="DM132" s="353"/>
      <c r="DN132" s="353"/>
      <c r="DO132" s="353"/>
      <c r="DP132" s="353"/>
      <c r="DQ132" s="353"/>
      <c r="DR132" s="353"/>
      <c r="DS132" s="353"/>
      <c r="DT132" s="353"/>
      <c r="DU132" s="353"/>
      <c r="DV132" s="353"/>
      <c r="DW132" s="353"/>
      <c r="DX132" s="353"/>
      <c r="DY132" s="353"/>
      <c r="DZ132" s="353"/>
      <c r="EA132" s="353"/>
      <c r="EB132" s="353"/>
      <c r="EC132" s="353"/>
    </row>
    <row r="133" spans="2:133" s="354" customFormat="1" ht="15.75">
      <c r="B133" s="353"/>
      <c r="C133" s="353"/>
      <c r="D133" s="353"/>
      <c r="E133" s="353"/>
      <c r="F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3"/>
      <c r="AM133" s="353"/>
      <c r="AN133" s="353"/>
      <c r="AO133" s="353"/>
      <c r="AP133" s="353"/>
      <c r="AQ133" s="353"/>
      <c r="AR133" s="353"/>
      <c r="AS133" s="353"/>
      <c r="AT133" s="353"/>
      <c r="AU133" s="353"/>
      <c r="AV133" s="353"/>
      <c r="AW133" s="353"/>
      <c r="AX133" s="353"/>
      <c r="AY133" s="353"/>
      <c r="AZ133" s="353"/>
      <c r="BA133" s="353"/>
      <c r="BB133" s="353"/>
      <c r="BC133" s="353"/>
      <c r="BD133" s="353"/>
      <c r="BE133" s="353"/>
      <c r="BF133" s="353"/>
      <c r="BG133" s="353"/>
      <c r="BH133" s="353"/>
      <c r="BI133" s="353"/>
      <c r="BJ133" s="353"/>
      <c r="BK133" s="353"/>
      <c r="BL133" s="353"/>
      <c r="BM133" s="353"/>
      <c r="BN133" s="353"/>
      <c r="BO133" s="353"/>
      <c r="BP133" s="353"/>
      <c r="BQ133" s="353"/>
      <c r="BR133" s="353"/>
      <c r="BS133" s="353"/>
      <c r="BT133" s="353"/>
      <c r="BU133" s="353"/>
      <c r="BV133" s="353"/>
      <c r="BW133" s="353"/>
      <c r="BX133" s="353"/>
      <c r="BY133" s="353"/>
      <c r="BZ133" s="353"/>
      <c r="CA133" s="353"/>
      <c r="CB133" s="353"/>
      <c r="CC133" s="353"/>
      <c r="CD133" s="353"/>
      <c r="CE133" s="353"/>
      <c r="CF133" s="353"/>
      <c r="CG133" s="353"/>
      <c r="CH133" s="353"/>
      <c r="CI133" s="353"/>
      <c r="CJ133" s="353"/>
      <c r="CK133" s="353"/>
      <c r="CL133" s="353"/>
      <c r="CM133" s="353"/>
      <c r="CN133" s="353"/>
      <c r="CO133" s="353"/>
      <c r="CP133" s="353"/>
      <c r="CQ133" s="353"/>
      <c r="CR133" s="353"/>
      <c r="CS133" s="353"/>
      <c r="CT133" s="353"/>
      <c r="CU133" s="353"/>
      <c r="CV133" s="353"/>
      <c r="CW133" s="353"/>
      <c r="CX133" s="353"/>
      <c r="CY133" s="353"/>
      <c r="CZ133" s="353"/>
      <c r="DA133" s="353"/>
      <c r="DB133" s="353"/>
      <c r="DC133" s="353"/>
      <c r="DD133" s="353"/>
      <c r="DE133" s="353"/>
      <c r="DF133" s="353"/>
      <c r="DG133" s="353"/>
      <c r="DH133" s="353"/>
      <c r="DI133" s="353"/>
      <c r="DJ133" s="353"/>
      <c r="DK133" s="353"/>
      <c r="DL133" s="353"/>
      <c r="DM133" s="353"/>
      <c r="DN133" s="353"/>
      <c r="DO133" s="353"/>
      <c r="DP133" s="353"/>
      <c r="DQ133" s="353"/>
      <c r="DR133" s="353"/>
      <c r="DS133" s="353"/>
      <c r="DT133" s="353"/>
      <c r="DU133" s="353"/>
      <c r="DV133" s="353"/>
      <c r="DW133" s="353"/>
      <c r="DX133" s="353"/>
      <c r="DY133" s="353"/>
      <c r="DZ133" s="353"/>
      <c r="EA133" s="353"/>
      <c r="EB133" s="353"/>
      <c r="EC133" s="353"/>
    </row>
    <row r="134" spans="2:133" s="354" customFormat="1" ht="15.75">
      <c r="B134" s="353"/>
      <c r="C134" s="375"/>
      <c r="D134" s="353"/>
      <c r="E134" s="353"/>
      <c r="F134" s="353"/>
      <c r="H134" s="353"/>
      <c r="I134" s="353"/>
      <c r="J134" s="353"/>
      <c r="K134" s="353"/>
      <c r="L134" s="353"/>
      <c r="M134" s="353"/>
      <c r="N134" s="353"/>
      <c r="O134" s="353"/>
      <c r="P134" s="353"/>
      <c r="Q134" s="353"/>
      <c r="R134" s="353"/>
      <c r="S134" s="353"/>
      <c r="T134" s="353"/>
      <c r="U134" s="353"/>
      <c r="V134" s="353"/>
      <c r="W134" s="353"/>
      <c r="X134" s="353"/>
      <c r="Y134" s="353"/>
      <c r="Z134" s="353"/>
      <c r="AA134" s="353"/>
      <c r="AB134" s="353"/>
      <c r="AC134" s="353"/>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3"/>
      <c r="AY134" s="353"/>
      <c r="AZ134" s="353"/>
      <c r="BA134" s="353"/>
      <c r="BB134" s="353"/>
      <c r="BC134" s="353"/>
      <c r="BD134" s="353"/>
      <c r="BE134" s="353"/>
      <c r="BF134" s="353"/>
      <c r="BG134" s="353"/>
      <c r="BH134" s="353"/>
      <c r="BI134" s="353"/>
      <c r="BJ134" s="353"/>
      <c r="BK134" s="353"/>
      <c r="BL134" s="353"/>
      <c r="BM134" s="353"/>
      <c r="BN134" s="353"/>
      <c r="BO134" s="353"/>
      <c r="BP134" s="353"/>
      <c r="BQ134" s="353"/>
      <c r="BR134" s="353"/>
      <c r="BS134" s="353"/>
      <c r="BT134" s="353"/>
      <c r="BU134" s="353"/>
      <c r="BV134" s="353"/>
      <c r="BW134" s="353"/>
      <c r="BX134" s="353"/>
      <c r="BY134" s="353"/>
      <c r="BZ134" s="353"/>
      <c r="CA134" s="353"/>
      <c r="CB134" s="353"/>
      <c r="CC134" s="353"/>
      <c r="CD134" s="353"/>
      <c r="CE134" s="353"/>
      <c r="CF134" s="353"/>
      <c r="CG134" s="353"/>
      <c r="CH134" s="353"/>
      <c r="CI134" s="353"/>
      <c r="CJ134" s="353"/>
      <c r="CK134" s="353"/>
      <c r="CL134" s="353"/>
      <c r="CM134" s="353"/>
      <c r="CN134" s="353"/>
      <c r="CO134" s="353"/>
      <c r="CP134" s="353"/>
      <c r="CQ134" s="353"/>
      <c r="CR134" s="353"/>
      <c r="CS134" s="353"/>
      <c r="CT134" s="353"/>
      <c r="CU134" s="353"/>
      <c r="CV134" s="353"/>
      <c r="CW134" s="353"/>
      <c r="CX134" s="353"/>
      <c r="CY134" s="353"/>
      <c r="CZ134" s="353"/>
      <c r="DA134" s="353"/>
      <c r="DB134" s="353"/>
      <c r="DC134" s="353"/>
      <c r="DD134" s="353"/>
      <c r="DE134" s="353"/>
      <c r="DF134" s="353"/>
      <c r="DG134" s="353"/>
      <c r="DH134" s="353"/>
      <c r="DI134" s="353"/>
      <c r="DJ134" s="353"/>
      <c r="DK134" s="353"/>
      <c r="DL134" s="353"/>
      <c r="DM134" s="353"/>
      <c r="DN134" s="353"/>
      <c r="DO134" s="353"/>
      <c r="DP134" s="353"/>
      <c r="DQ134" s="353"/>
      <c r="DR134" s="353"/>
      <c r="DS134" s="353"/>
      <c r="DT134" s="353"/>
      <c r="DU134" s="353"/>
      <c r="DV134" s="353"/>
      <c r="DW134" s="353"/>
      <c r="DX134" s="353"/>
      <c r="DY134" s="353"/>
      <c r="DZ134" s="353"/>
      <c r="EA134" s="353"/>
      <c r="EB134" s="353"/>
      <c r="EC134" s="353"/>
    </row>
    <row r="135" spans="2:133" s="354" customFormat="1" ht="15.75">
      <c r="B135" s="353"/>
      <c r="C135" s="353"/>
      <c r="D135" s="353"/>
      <c r="E135" s="353"/>
      <c r="F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3"/>
      <c r="AY135" s="353"/>
      <c r="AZ135" s="353"/>
      <c r="BA135" s="353"/>
      <c r="BB135" s="353"/>
      <c r="BC135" s="353"/>
      <c r="BD135" s="353"/>
      <c r="BE135" s="353"/>
      <c r="BF135" s="353"/>
      <c r="BG135" s="353"/>
      <c r="BH135" s="353"/>
      <c r="BI135" s="353"/>
      <c r="BJ135" s="353"/>
      <c r="BK135" s="353"/>
      <c r="BL135" s="353"/>
      <c r="BM135" s="353"/>
      <c r="BN135" s="353"/>
      <c r="BO135" s="353"/>
      <c r="BP135" s="353"/>
      <c r="BQ135" s="353"/>
      <c r="BR135" s="353"/>
      <c r="BS135" s="353"/>
      <c r="BT135" s="353"/>
      <c r="BU135" s="353"/>
      <c r="BV135" s="353"/>
      <c r="BW135" s="353"/>
      <c r="BX135" s="353"/>
      <c r="BY135" s="353"/>
      <c r="BZ135" s="353"/>
      <c r="CA135" s="353"/>
      <c r="CB135" s="353"/>
      <c r="CC135" s="353"/>
      <c r="CD135" s="353"/>
      <c r="CE135" s="353"/>
      <c r="CF135" s="353"/>
      <c r="CG135" s="353"/>
      <c r="CH135" s="353"/>
      <c r="CI135" s="353"/>
      <c r="CJ135" s="353"/>
      <c r="CK135" s="353"/>
      <c r="CL135" s="353"/>
      <c r="CM135" s="353"/>
      <c r="CN135" s="353"/>
      <c r="CO135" s="353"/>
      <c r="CP135" s="353"/>
      <c r="CQ135" s="353"/>
      <c r="CR135" s="353"/>
      <c r="CS135" s="353"/>
      <c r="CT135" s="353"/>
      <c r="CU135" s="353"/>
      <c r="CV135" s="353"/>
      <c r="CW135" s="353"/>
      <c r="CX135" s="353"/>
      <c r="CY135" s="353"/>
      <c r="CZ135" s="353"/>
      <c r="DA135" s="353"/>
      <c r="DB135" s="353"/>
      <c r="DC135" s="353"/>
      <c r="DD135" s="353"/>
      <c r="DE135" s="353"/>
      <c r="DF135" s="353"/>
      <c r="DG135" s="353"/>
      <c r="DH135" s="353"/>
      <c r="DI135" s="353"/>
      <c r="DJ135" s="353"/>
      <c r="DK135" s="353"/>
      <c r="DL135" s="353"/>
      <c r="DM135" s="353"/>
      <c r="DN135" s="353"/>
      <c r="DO135" s="353"/>
      <c r="DP135" s="353"/>
      <c r="DQ135" s="353"/>
      <c r="DR135" s="353"/>
      <c r="DS135" s="353"/>
      <c r="DT135" s="353"/>
      <c r="DU135" s="353"/>
      <c r="DV135" s="353"/>
      <c r="DW135" s="353"/>
      <c r="DX135" s="353"/>
      <c r="DY135" s="353"/>
      <c r="DZ135" s="353"/>
      <c r="EA135" s="353"/>
      <c r="EB135" s="353"/>
      <c r="EC135" s="353"/>
    </row>
    <row r="136" spans="2:133" s="354" customFormat="1" ht="15.75">
      <c r="B136" s="353"/>
      <c r="C136" s="353"/>
      <c r="D136" s="353"/>
      <c r="E136" s="353"/>
      <c r="F136" s="353"/>
      <c r="G136" s="353"/>
      <c r="H136" s="353"/>
      <c r="I136" s="353"/>
      <c r="J136" s="353"/>
      <c r="K136" s="353"/>
      <c r="L136" s="353"/>
      <c r="M136" s="353"/>
      <c r="N136" s="353"/>
      <c r="O136" s="353"/>
      <c r="P136" s="353"/>
      <c r="Q136" s="353"/>
      <c r="R136" s="353"/>
      <c r="S136" s="353"/>
      <c r="T136" s="353"/>
      <c r="U136" s="353"/>
      <c r="V136" s="353"/>
      <c r="W136" s="353"/>
      <c r="X136" s="353"/>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3"/>
      <c r="AT136" s="353"/>
      <c r="AU136" s="353"/>
      <c r="AV136" s="353"/>
      <c r="AW136" s="353"/>
      <c r="AX136" s="353"/>
      <c r="AY136" s="353"/>
      <c r="AZ136" s="353"/>
      <c r="BA136" s="353"/>
      <c r="BB136" s="353"/>
      <c r="BC136" s="353"/>
      <c r="BD136" s="353"/>
      <c r="BE136" s="353"/>
      <c r="BF136" s="353"/>
      <c r="BG136" s="353"/>
      <c r="BH136" s="353"/>
      <c r="BI136" s="353"/>
      <c r="BJ136" s="353"/>
      <c r="BK136" s="353"/>
      <c r="BL136" s="353"/>
      <c r="BM136" s="353"/>
      <c r="BN136" s="353"/>
      <c r="BO136" s="353"/>
      <c r="BP136" s="353"/>
      <c r="BQ136" s="353"/>
      <c r="BR136" s="353"/>
      <c r="BS136" s="353"/>
      <c r="BT136" s="353"/>
      <c r="BU136" s="353"/>
      <c r="BV136" s="353"/>
      <c r="BW136" s="353"/>
      <c r="BX136" s="353"/>
      <c r="BY136" s="353"/>
      <c r="BZ136" s="353"/>
      <c r="CA136" s="353"/>
      <c r="CB136" s="353"/>
      <c r="CC136" s="353"/>
      <c r="CD136" s="353"/>
      <c r="CE136" s="353"/>
      <c r="CF136" s="353"/>
      <c r="CG136" s="353"/>
      <c r="CH136" s="353"/>
      <c r="CI136" s="353"/>
      <c r="CJ136" s="353"/>
      <c r="CK136" s="353"/>
      <c r="CL136" s="353"/>
      <c r="CM136" s="353"/>
      <c r="CN136" s="353"/>
      <c r="CO136" s="353"/>
      <c r="CP136" s="353"/>
      <c r="CQ136" s="353"/>
      <c r="CR136" s="353"/>
      <c r="CS136" s="353"/>
      <c r="CT136" s="353"/>
      <c r="CU136" s="353"/>
      <c r="CV136" s="353"/>
      <c r="CW136" s="353"/>
      <c r="CX136" s="353"/>
      <c r="CY136" s="353"/>
      <c r="CZ136" s="353"/>
      <c r="DA136" s="353"/>
      <c r="DB136" s="353"/>
      <c r="DC136" s="353"/>
      <c r="DD136" s="353"/>
      <c r="DE136" s="353"/>
      <c r="DF136" s="353"/>
      <c r="DG136" s="353"/>
      <c r="DH136" s="353"/>
      <c r="DI136" s="353"/>
      <c r="DJ136" s="353"/>
      <c r="DK136" s="353"/>
      <c r="DL136" s="353"/>
      <c r="DM136" s="353"/>
      <c r="DN136" s="353"/>
      <c r="DO136" s="353"/>
      <c r="DP136" s="353"/>
      <c r="DQ136" s="353"/>
      <c r="DR136" s="353"/>
      <c r="DS136" s="353"/>
      <c r="DT136" s="353"/>
      <c r="DU136" s="353"/>
      <c r="DV136" s="353"/>
      <c r="DW136" s="353"/>
      <c r="DX136" s="353"/>
      <c r="DY136" s="353"/>
      <c r="DZ136" s="353"/>
      <c r="EA136" s="353"/>
      <c r="EB136" s="353"/>
      <c r="EC136" s="353"/>
    </row>
    <row r="137" spans="2:133" s="354" customFormat="1" ht="15.75">
      <c r="B137" s="355"/>
      <c r="C137" s="368"/>
      <c r="D137" s="353"/>
      <c r="E137" s="353"/>
      <c r="F137" s="353"/>
      <c r="H137" s="353"/>
      <c r="I137" s="353"/>
      <c r="J137" s="353"/>
      <c r="K137" s="353"/>
      <c r="L137" s="353"/>
      <c r="M137" s="353"/>
      <c r="N137" s="353"/>
      <c r="O137" s="353"/>
      <c r="P137" s="353"/>
      <c r="Q137" s="353"/>
      <c r="R137" s="353"/>
      <c r="S137" s="353"/>
      <c r="T137" s="353"/>
      <c r="U137" s="353"/>
      <c r="V137" s="353"/>
      <c r="W137" s="353"/>
      <c r="X137" s="353"/>
      <c r="Y137" s="353"/>
      <c r="Z137" s="353"/>
      <c r="AA137" s="353"/>
      <c r="AB137" s="353"/>
      <c r="AC137" s="353"/>
      <c r="AD137" s="353"/>
      <c r="AE137" s="353"/>
      <c r="AF137" s="353"/>
      <c r="AG137" s="353"/>
      <c r="AH137" s="353"/>
      <c r="AI137" s="353"/>
      <c r="AJ137" s="353"/>
      <c r="AK137" s="353"/>
      <c r="AL137" s="353"/>
      <c r="AM137" s="353"/>
      <c r="AN137" s="353"/>
      <c r="AO137" s="353"/>
      <c r="AP137" s="353"/>
      <c r="AQ137" s="353"/>
      <c r="AR137" s="353"/>
      <c r="AS137" s="353"/>
      <c r="AT137" s="353"/>
      <c r="AU137" s="353"/>
      <c r="AV137" s="353"/>
      <c r="AW137" s="353"/>
      <c r="AX137" s="353"/>
      <c r="AY137" s="353"/>
      <c r="AZ137" s="353"/>
      <c r="BA137" s="353"/>
      <c r="BB137" s="353"/>
      <c r="BC137" s="353"/>
      <c r="BD137" s="353"/>
      <c r="BE137" s="353"/>
      <c r="BF137" s="353"/>
      <c r="BG137" s="353"/>
      <c r="BH137" s="353"/>
      <c r="BI137" s="353"/>
      <c r="BJ137" s="353"/>
      <c r="BK137" s="353"/>
      <c r="BL137" s="353"/>
      <c r="BM137" s="353"/>
      <c r="BN137" s="353"/>
      <c r="BO137" s="353"/>
      <c r="BP137" s="353"/>
      <c r="BQ137" s="353"/>
      <c r="BR137" s="353"/>
      <c r="BS137" s="353"/>
      <c r="BT137" s="353"/>
      <c r="BU137" s="353"/>
      <c r="BV137" s="353"/>
      <c r="BW137" s="353"/>
      <c r="BX137" s="353"/>
      <c r="BY137" s="353"/>
      <c r="BZ137" s="353"/>
      <c r="CA137" s="353"/>
      <c r="CB137" s="353"/>
      <c r="CC137" s="353"/>
      <c r="CD137" s="353"/>
      <c r="CE137" s="353"/>
      <c r="CF137" s="353"/>
      <c r="CG137" s="353"/>
      <c r="CH137" s="353"/>
      <c r="CI137" s="353"/>
      <c r="CJ137" s="353"/>
      <c r="CK137" s="353"/>
      <c r="CL137" s="353"/>
      <c r="CM137" s="353"/>
      <c r="CN137" s="353"/>
      <c r="CO137" s="353"/>
      <c r="CP137" s="353"/>
      <c r="CQ137" s="353"/>
      <c r="CR137" s="353"/>
      <c r="CS137" s="353"/>
      <c r="CT137" s="353"/>
      <c r="CU137" s="353"/>
      <c r="CV137" s="353"/>
      <c r="CW137" s="353"/>
      <c r="CX137" s="353"/>
      <c r="CY137" s="353"/>
      <c r="CZ137" s="353"/>
      <c r="DA137" s="353"/>
      <c r="DB137" s="353"/>
      <c r="DC137" s="353"/>
      <c r="DD137" s="353"/>
      <c r="DE137" s="353"/>
      <c r="DF137" s="353"/>
      <c r="DG137" s="353"/>
      <c r="DH137" s="353"/>
      <c r="DI137" s="353"/>
      <c r="DJ137" s="353"/>
      <c r="DK137" s="353"/>
      <c r="DL137" s="353"/>
      <c r="DM137" s="353"/>
      <c r="DN137" s="353"/>
      <c r="DO137" s="353"/>
      <c r="DP137" s="353"/>
      <c r="DQ137" s="353"/>
      <c r="DR137" s="353"/>
      <c r="DS137" s="353"/>
      <c r="DT137" s="353"/>
      <c r="DU137" s="353"/>
      <c r="DV137" s="353"/>
      <c r="DW137" s="353"/>
      <c r="DX137" s="353"/>
      <c r="DY137" s="353"/>
      <c r="DZ137" s="353"/>
      <c r="EA137" s="353"/>
      <c r="EB137" s="353"/>
      <c r="EC137" s="353"/>
    </row>
    <row r="138" spans="2:133" s="354" customFormat="1" ht="15.75">
      <c r="B138" s="353"/>
      <c r="C138" s="353"/>
      <c r="D138" s="353"/>
      <c r="E138" s="353"/>
      <c r="F138" s="353"/>
      <c r="H138" s="353"/>
      <c r="I138" s="353"/>
      <c r="J138" s="353"/>
      <c r="K138" s="353"/>
      <c r="L138" s="353"/>
      <c r="M138" s="353"/>
      <c r="N138" s="353"/>
      <c r="O138" s="353"/>
      <c r="P138" s="353"/>
      <c r="Q138" s="353"/>
      <c r="R138" s="353"/>
      <c r="S138" s="353"/>
      <c r="T138" s="353"/>
      <c r="U138" s="353"/>
      <c r="V138" s="353"/>
      <c r="W138" s="353"/>
      <c r="X138" s="353"/>
      <c r="Y138" s="353"/>
      <c r="Z138" s="353"/>
      <c r="AA138" s="353"/>
      <c r="AB138" s="353"/>
      <c r="AC138" s="353"/>
      <c r="AD138" s="353"/>
      <c r="AE138" s="353"/>
      <c r="AF138" s="353"/>
      <c r="AG138" s="353"/>
      <c r="AH138" s="353"/>
      <c r="AI138" s="353"/>
      <c r="AJ138" s="353"/>
      <c r="AK138" s="353"/>
      <c r="AL138" s="353"/>
      <c r="AM138" s="353"/>
      <c r="AN138" s="353"/>
      <c r="AO138" s="353"/>
      <c r="AP138" s="353"/>
      <c r="AQ138" s="353"/>
      <c r="AR138" s="353"/>
      <c r="AS138" s="353"/>
      <c r="AT138" s="353"/>
      <c r="AU138" s="353"/>
      <c r="AV138" s="353"/>
      <c r="AW138" s="353"/>
      <c r="AX138" s="353"/>
      <c r="AY138" s="353"/>
      <c r="AZ138" s="353"/>
      <c r="BA138" s="353"/>
      <c r="BB138" s="353"/>
      <c r="BC138" s="353"/>
      <c r="BD138" s="353"/>
      <c r="BE138" s="353"/>
      <c r="BF138" s="353"/>
      <c r="BG138" s="353"/>
      <c r="BH138" s="353"/>
      <c r="BI138" s="353"/>
      <c r="BJ138" s="353"/>
      <c r="BK138" s="353"/>
      <c r="BL138" s="353"/>
      <c r="BM138" s="353"/>
      <c r="BN138" s="353"/>
      <c r="BO138" s="353"/>
      <c r="BP138" s="353"/>
      <c r="BQ138" s="353"/>
      <c r="BR138" s="353"/>
      <c r="BS138" s="353"/>
      <c r="BT138" s="353"/>
      <c r="BU138" s="353"/>
      <c r="BV138" s="353"/>
      <c r="BW138" s="353"/>
      <c r="BX138" s="353"/>
      <c r="BY138" s="353"/>
      <c r="BZ138" s="353"/>
      <c r="CA138" s="353"/>
      <c r="CB138" s="353"/>
      <c r="CC138" s="353"/>
      <c r="CD138" s="353"/>
      <c r="CE138" s="353"/>
      <c r="CF138" s="353"/>
      <c r="CG138" s="353"/>
      <c r="CH138" s="353"/>
      <c r="CI138" s="353"/>
      <c r="CJ138" s="353"/>
      <c r="CK138" s="353"/>
      <c r="CL138" s="353"/>
      <c r="CM138" s="353"/>
      <c r="CN138" s="353"/>
      <c r="CO138" s="353"/>
      <c r="CP138" s="353"/>
      <c r="CQ138" s="353"/>
      <c r="CR138" s="353"/>
      <c r="CS138" s="353"/>
      <c r="CT138" s="353"/>
      <c r="CU138" s="353"/>
      <c r="CV138" s="353"/>
      <c r="CW138" s="353"/>
      <c r="CX138" s="353"/>
      <c r="CY138" s="353"/>
      <c r="CZ138" s="353"/>
      <c r="DA138" s="353"/>
      <c r="DB138" s="353"/>
      <c r="DC138" s="353"/>
      <c r="DD138" s="353"/>
      <c r="DE138" s="353"/>
      <c r="DF138" s="353"/>
      <c r="DG138" s="353"/>
      <c r="DH138" s="353"/>
      <c r="DI138" s="353"/>
      <c r="DJ138" s="353"/>
      <c r="DK138" s="353"/>
      <c r="DL138" s="353"/>
      <c r="DM138" s="353"/>
      <c r="DN138" s="353"/>
      <c r="DO138" s="353"/>
      <c r="DP138" s="353"/>
      <c r="DQ138" s="353"/>
      <c r="DR138" s="353"/>
      <c r="DS138" s="353"/>
      <c r="DT138" s="353"/>
      <c r="DU138" s="353"/>
      <c r="DV138" s="353"/>
      <c r="DW138" s="353"/>
      <c r="DX138" s="353"/>
      <c r="DY138" s="353"/>
      <c r="DZ138" s="353"/>
      <c r="EA138" s="353"/>
      <c r="EB138" s="353"/>
      <c r="EC138" s="353"/>
    </row>
    <row r="139" spans="2:133" s="354" customFormat="1" ht="15.75">
      <c r="B139" s="353"/>
      <c r="C139" s="371"/>
      <c r="D139" s="353"/>
      <c r="E139" s="353"/>
      <c r="F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3"/>
      <c r="AD139" s="353"/>
      <c r="AE139" s="353"/>
      <c r="AF139" s="353"/>
      <c r="AG139" s="353"/>
      <c r="AH139" s="353"/>
      <c r="AI139" s="353"/>
      <c r="AJ139" s="353"/>
      <c r="AK139" s="353"/>
      <c r="AL139" s="353"/>
      <c r="AM139" s="353"/>
      <c r="AN139" s="353"/>
      <c r="AO139" s="353"/>
      <c r="AP139" s="353"/>
      <c r="AQ139" s="353"/>
      <c r="AR139" s="353"/>
      <c r="AS139" s="353"/>
      <c r="AT139" s="353"/>
      <c r="AU139" s="353"/>
      <c r="AV139" s="353"/>
      <c r="AW139" s="353"/>
      <c r="AX139" s="353"/>
      <c r="AY139" s="353"/>
      <c r="AZ139" s="353"/>
      <c r="BA139" s="353"/>
      <c r="BB139" s="353"/>
      <c r="BC139" s="353"/>
      <c r="BD139" s="353"/>
      <c r="BE139" s="353"/>
      <c r="BF139" s="353"/>
      <c r="BG139" s="353"/>
      <c r="BH139" s="353"/>
      <c r="BI139" s="353"/>
      <c r="BJ139" s="353"/>
      <c r="BK139" s="353"/>
      <c r="BL139" s="353"/>
      <c r="BM139" s="353"/>
      <c r="BN139" s="353"/>
      <c r="BO139" s="353"/>
      <c r="BP139" s="353"/>
      <c r="BQ139" s="353"/>
      <c r="BR139" s="353"/>
      <c r="BS139" s="353"/>
      <c r="BT139" s="353"/>
      <c r="BU139" s="353"/>
      <c r="BV139" s="353"/>
      <c r="BW139" s="353"/>
      <c r="BX139" s="353"/>
      <c r="BY139" s="353"/>
      <c r="BZ139" s="353"/>
      <c r="CA139" s="353"/>
      <c r="CB139" s="353"/>
      <c r="CC139" s="353"/>
      <c r="CD139" s="353"/>
      <c r="CE139" s="353"/>
      <c r="CF139" s="353"/>
      <c r="CG139" s="353"/>
      <c r="CH139" s="353"/>
      <c r="CI139" s="353"/>
      <c r="CJ139" s="353"/>
      <c r="CK139" s="353"/>
      <c r="CL139" s="353"/>
      <c r="CM139" s="353"/>
      <c r="CN139" s="353"/>
      <c r="CO139" s="353"/>
      <c r="CP139" s="353"/>
      <c r="CQ139" s="353"/>
      <c r="CR139" s="353"/>
      <c r="CS139" s="353"/>
      <c r="CT139" s="353"/>
      <c r="CU139" s="353"/>
      <c r="CV139" s="353"/>
      <c r="CW139" s="353"/>
      <c r="CX139" s="353"/>
      <c r="CY139" s="353"/>
      <c r="CZ139" s="353"/>
      <c r="DA139" s="353"/>
      <c r="DB139" s="353"/>
      <c r="DC139" s="353"/>
      <c r="DD139" s="353"/>
      <c r="DE139" s="353"/>
      <c r="DF139" s="353"/>
      <c r="DG139" s="353"/>
      <c r="DH139" s="353"/>
      <c r="DI139" s="353"/>
      <c r="DJ139" s="353"/>
      <c r="DK139" s="353"/>
      <c r="DL139" s="353"/>
      <c r="DM139" s="353"/>
      <c r="DN139" s="353"/>
      <c r="DO139" s="353"/>
      <c r="DP139" s="353"/>
      <c r="DQ139" s="353"/>
      <c r="DR139" s="353"/>
      <c r="DS139" s="353"/>
      <c r="DT139" s="353"/>
      <c r="DU139" s="353"/>
      <c r="DV139" s="353"/>
      <c r="DW139" s="353"/>
      <c r="DX139" s="353"/>
      <c r="DY139" s="353"/>
      <c r="DZ139" s="353"/>
      <c r="EA139" s="353"/>
      <c r="EB139" s="353"/>
      <c r="EC139" s="353"/>
    </row>
    <row r="140" spans="2:133" s="354" customFormat="1" ht="15.75">
      <c r="B140" s="353"/>
      <c r="C140" s="353"/>
      <c r="D140" s="353"/>
      <c r="E140" s="353"/>
      <c r="F140" s="353"/>
      <c r="G140" s="353"/>
      <c r="H140" s="353"/>
      <c r="I140" s="353"/>
      <c r="J140" s="353"/>
      <c r="K140" s="353"/>
      <c r="L140" s="353"/>
      <c r="M140" s="353"/>
      <c r="N140" s="353"/>
      <c r="O140" s="353"/>
      <c r="P140" s="353"/>
      <c r="Q140" s="353"/>
      <c r="R140" s="353"/>
      <c r="S140" s="353"/>
      <c r="T140" s="353"/>
      <c r="U140" s="353"/>
      <c r="V140" s="353"/>
      <c r="W140" s="353"/>
      <c r="X140" s="353"/>
      <c r="Y140" s="353"/>
      <c r="Z140" s="353"/>
      <c r="AA140" s="353"/>
      <c r="AB140" s="353"/>
      <c r="AC140" s="353"/>
      <c r="AD140" s="353"/>
      <c r="AE140" s="353"/>
      <c r="AF140" s="353"/>
      <c r="AG140" s="353"/>
      <c r="AH140" s="353"/>
      <c r="AI140" s="353"/>
      <c r="AJ140" s="353"/>
      <c r="AK140" s="353"/>
      <c r="AL140" s="353"/>
      <c r="AM140" s="353"/>
      <c r="AN140" s="353"/>
      <c r="AO140" s="353"/>
      <c r="AP140" s="353"/>
      <c r="AQ140" s="353"/>
      <c r="AR140" s="353"/>
      <c r="AS140" s="353"/>
      <c r="AT140" s="353"/>
      <c r="AU140" s="353"/>
      <c r="AV140" s="353"/>
      <c r="AW140" s="353"/>
      <c r="AX140" s="353"/>
      <c r="AY140" s="353"/>
      <c r="AZ140" s="353"/>
      <c r="BA140" s="353"/>
      <c r="BB140" s="353"/>
      <c r="BC140" s="353"/>
      <c r="BD140" s="353"/>
      <c r="BE140" s="353"/>
      <c r="BF140" s="353"/>
      <c r="BG140" s="353"/>
      <c r="BH140" s="353"/>
      <c r="BI140" s="353"/>
      <c r="BJ140" s="353"/>
      <c r="BK140" s="353"/>
      <c r="BL140" s="353"/>
      <c r="BM140" s="353"/>
      <c r="BN140" s="353"/>
      <c r="BO140" s="353"/>
      <c r="BP140" s="353"/>
      <c r="BQ140" s="353"/>
      <c r="BR140" s="353"/>
      <c r="BS140" s="353"/>
      <c r="BT140" s="353"/>
      <c r="BU140" s="353"/>
      <c r="BV140" s="353"/>
      <c r="BW140" s="353"/>
      <c r="BX140" s="353"/>
      <c r="BY140" s="353"/>
      <c r="BZ140" s="353"/>
      <c r="CA140" s="353"/>
      <c r="CB140" s="353"/>
      <c r="CC140" s="353"/>
      <c r="CD140" s="353"/>
      <c r="CE140" s="353"/>
      <c r="CF140" s="353"/>
      <c r="CG140" s="353"/>
      <c r="CH140" s="353"/>
      <c r="CI140" s="353"/>
      <c r="CJ140" s="353"/>
      <c r="CK140" s="353"/>
      <c r="CL140" s="353"/>
      <c r="CM140" s="353"/>
      <c r="CN140" s="353"/>
      <c r="CO140" s="353"/>
      <c r="CP140" s="353"/>
      <c r="CQ140" s="353"/>
      <c r="CR140" s="353"/>
      <c r="CS140" s="353"/>
      <c r="CT140" s="353"/>
      <c r="CU140" s="353"/>
      <c r="CV140" s="353"/>
      <c r="CW140" s="353"/>
      <c r="CX140" s="353"/>
      <c r="CY140" s="353"/>
      <c r="CZ140" s="353"/>
      <c r="DA140" s="353"/>
      <c r="DB140" s="353"/>
      <c r="DC140" s="353"/>
      <c r="DD140" s="353"/>
      <c r="DE140" s="353"/>
      <c r="DF140" s="353"/>
      <c r="DG140" s="353"/>
      <c r="DH140" s="353"/>
      <c r="DI140" s="353"/>
      <c r="DJ140" s="353"/>
      <c r="DK140" s="353"/>
      <c r="DL140" s="353"/>
      <c r="DM140" s="353"/>
      <c r="DN140" s="353"/>
      <c r="DO140" s="353"/>
      <c r="DP140" s="353"/>
      <c r="DQ140" s="353"/>
      <c r="DR140" s="353"/>
      <c r="DS140" s="353"/>
      <c r="DT140" s="353"/>
      <c r="DU140" s="353"/>
      <c r="DV140" s="353"/>
      <c r="DW140" s="353"/>
      <c r="DX140" s="353"/>
      <c r="DY140" s="353"/>
      <c r="DZ140" s="353"/>
      <c r="EA140" s="353"/>
      <c r="EB140" s="353"/>
      <c r="EC140" s="353"/>
    </row>
    <row r="141" spans="2:133" s="354" customFormat="1" ht="15.75">
      <c r="B141" s="355"/>
      <c r="C141" s="678"/>
      <c r="D141" s="353"/>
      <c r="E141" s="353"/>
      <c r="F141" s="353"/>
      <c r="G141" s="353"/>
      <c r="H141" s="353"/>
      <c r="I141" s="353"/>
      <c r="J141" s="353"/>
      <c r="K141" s="353"/>
      <c r="L141" s="353"/>
      <c r="M141" s="353"/>
      <c r="N141" s="353"/>
      <c r="O141" s="353"/>
      <c r="P141" s="353"/>
      <c r="Q141" s="353"/>
      <c r="R141" s="353"/>
      <c r="S141" s="353"/>
      <c r="T141" s="353"/>
      <c r="U141" s="353"/>
      <c r="V141" s="353"/>
      <c r="W141" s="353"/>
      <c r="X141" s="353"/>
      <c r="Y141" s="353"/>
      <c r="Z141" s="353"/>
      <c r="AA141" s="353"/>
      <c r="AB141" s="353"/>
      <c r="AC141" s="353"/>
      <c r="AD141" s="353"/>
      <c r="AE141" s="353"/>
      <c r="AF141" s="353"/>
      <c r="AG141" s="353"/>
      <c r="AH141" s="353"/>
      <c r="AI141" s="353"/>
      <c r="AJ141" s="353"/>
      <c r="AK141" s="353"/>
      <c r="AL141" s="353"/>
      <c r="AM141" s="353"/>
      <c r="AN141" s="353"/>
      <c r="AO141" s="353"/>
      <c r="AP141" s="353"/>
      <c r="AQ141" s="353"/>
      <c r="AR141" s="353"/>
      <c r="AS141" s="353"/>
      <c r="AT141" s="353"/>
      <c r="AU141" s="353"/>
      <c r="AV141" s="353"/>
      <c r="AW141" s="353"/>
      <c r="AX141" s="353"/>
      <c r="AY141" s="353"/>
      <c r="AZ141" s="353"/>
      <c r="BA141" s="353"/>
      <c r="BB141" s="353"/>
      <c r="BC141" s="353"/>
      <c r="BD141" s="353"/>
      <c r="BE141" s="353"/>
      <c r="BF141" s="353"/>
      <c r="BG141" s="353"/>
      <c r="BH141" s="353"/>
      <c r="BI141" s="353"/>
      <c r="BJ141" s="353"/>
      <c r="BK141" s="353"/>
      <c r="BL141" s="353"/>
      <c r="BM141" s="353"/>
      <c r="BN141" s="353"/>
      <c r="BO141" s="353"/>
      <c r="BP141" s="353"/>
      <c r="BQ141" s="353"/>
      <c r="BR141" s="353"/>
      <c r="BS141" s="353"/>
      <c r="BT141" s="353"/>
      <c r="BU141" s="353"/>
      <c r="BV141" s="353"/>
      <c r="BW141" s="353"/>
      <c r="BX141" s="353"/>
      <c r="BY141" s="353"/>
      <c r="BZ141" s="353"/>
      <c r="CA141" s="353"/>
      <c r="CB141" s="353"/>
      <c r="CC141" s="353"/>
      <c r="CD141" s="353"/>
      <c r="CE141" s="353"/>
      <c r="CF141" s="353"/>
      <c r="CG141" s="353"/>
      <c r="CH141" s="353"/>
      <c r="CI141" s="353"/>
      <c r="CJ141" s="353"/>
      <c r="CK141" s="353"/>
      <c r="CL141" s="353"/>
      <c r="CM141" s="353"/>
      <c r="CN141" s="353"/>
      <c r="CO141" s="353"/>
      <c r="CP141" s="353"/>
      <c r="CQ141" s="353"/>
      <c r="CR141" s="353"/>
      <c r="CS141" s="353"/>
      <c r="CT141" s="353"/>
      <c r="CU141" s="353"/>
      <c r="CV141" s="353"/>
      <c r="CW141" s="353"/>
      <c r="CX141" s="353"/>
      <c r="CY141" s="353"/>
      <c r="CZ141" s="353"/>
      <c r="DA141" s="353"/>
      <c r="DB141" s="353"/>
      <c r="DC141" s="353"/>
      <c r="DD141" s="353"/>
      <c r="DE141" s="353"/>
      <c r="DF141" s="353"/>
      <c r="DG141" s="353"/>
      <c r="DH141" s="353"/>
      <c r="DI141" s="353"/>
      <c r="DJ141" s="353"/>
      <c r="DK141" s="353"/>
      <c r="DL141" s="353"/>
      <c r="DM141" s="353"/>
      <c r="DN141" s="353"/>
      <c r="DO141" s="353"/>
      <c r="DP141" s="353"/>
      <c r="DQ141" s="353"/>
      <c r="DR141" s="353"/>
      <c r="DS141" s="353"/>
      <c r="DT141" s="353"/>
      <c r="DU141" s="353"/>
      <c r="DV141" s="353"/>
      <c r="DW141" s="353"/>
      <c r="DX141" s="353"/>
      <c r="DY141" s="353"/>
      <c r="DZ141" s="353"/>
      <c r="EA141" s="353"/>
      <c r="EB141" s="353"/>
      <c r="EC141" s="353"/>
    </row>
    <row r="142" spans="2:133" s="354" customFormat="1" ht="15.75">
      <c r="B142" s="353"/>
      <c r="C142" s="353"/>
      <c r="D142" s="353"/>
      <c r="E142" s="353"/>
      <c r="F142" s="353"/>
      <c r="G142" s="353"/>
      <c r="H142" s="353"/>
      <c r="I142" s="353"/>
      <c r="J142" s="353"/>
      <c r="K142" s="353"/>
      <c r="L142" s="353"/>
      <c r="M142" s="353"/>
      <c r="N142" s="353"/>
      <c r="O142" s="353"/>
      <c r="P142" s="353"/>
      <c r="Q142" s="353"/>
      <c r="R142" s="353"/>
      <c r="S142" s="353"/>
      <c r="T142" s="353"/>
      <c r="U142" s="353"/>
      <c r="V142" s="353"/>
      <c r="W142" s="353"/>
      <c r="X142" s="353"/>
      <c r="Y142" s="353"/>
      <c r="Z142" s="353"/>
      <c r="AA142" s="353"/>
      <c r="AB142" s="353"/>
      <c r="AC142" s="353"/>
      <c r="AD142" s="353"/>
      <c r="AE142" s="353"/>
      <c r="AF142" s="353"/>
      <c r="AG142" s="353"/>
      <c r="AH142" s="353"/>
      <c r="AI142" s="353"/>
      <c r="AJ142" s="353"/>
      <c r="AK142" s="353"/>
      <c r="AL142" s="353"/>
      <c r="AM142" s="353"/>
      <c r="AN142" s="353"/>
      <c r="AO142" s="353"/>
      <c r="AP142" s="353"/>
      <c r="AQ142" s="353"/>
      <c r="AR142" s="353"/>
      <c r="AS142" s="353"/>
      <c r="AT142" s="353"/>
      <c r="AU142" s="353"/>
      <c r="AV142" s="353"/>
      <c r="AW142" s="353"/>
      <c r="AX142" s="353"/>
      <c r="AY142" s="353"/>
      <c r="AZ142" s="353"/>
      <c r="BA142" s="353"/>
      <c r="BB142" s="353"/>
      <c r="BC142" s="353"/>
      <c r="BD142" s="353"/>
      <c r="BE142" s="353"/>
      <c r="BF142" s="353"/>
      <c r="BG142" s="353"/>
      <c r="BH142" s="353"/>
      <c r="BI142" s="353"/>
      <c r="BJ142" s="353"/>
      <c r="BK142" s="353"/>
      <c r="BL142" s="353"/>
      <c r="BM142" s="353"/>
      <c r="BN142" s="353"/>
      <c r="BO142" s="353"/>
      <c r="BP142" s="353"/>
      <c r="BQ142" s="353"/>
      <c r="BR142" s="353"/>
      <c r="BS142" s="353"/>
      <c r="BT142" s="353"/>
      <c r="BU142" s="353"/>
      <c r="BV142" s="353"/>
      <c r="BW142" s="353"/>
      <c r="BX142" s="353"/>
      <c r="BY142" s="353"/>
      <c r="BZ142" s="353"/>
      <c r="CA142" s="353"/>
      <c r="CB142" s="353"/>
      <c r="CC142" s="353"/>
      <c r="CD142" s="353"/>
      <c r="CE142" s="353"/>
      <c r="CF142" s="353"/>
      <c r="CG142" s="353"/>
      <c r="CH142" s="353"/>
      <c r="CI142" s="353"/>
      <c r="CJ142" s="353"/>
      <c r="CK142" s="353"/>
      <c r="CL142" s="353"/>
      <c r="CM142" s="353"/>
      <c r="CN142" s="353"/>
      <c r="CO142" s="353"/>
      <c r="CP142" s="353"/>
      <c r="CQ142" s="353"/>
      <c r="CR142" s="353"/>
      <c r="CS142" s="353"/>
      <c r="CT142" s="353"/>
      <c r="CU142" s="353"/>
      <c r="CV142" s="353"/>
      <c r="CW142" s="353"/>
      <c r="CX142" s="353"/>
      <c r="CY142" s="353"/>
      <c r="CZ142" s="353"/>
      <c r="DA142" s="353"/>
      <c r="DB142" s="353"/>
      <c r="DC142" s="353"/>
      <c r="DD142" s="353"/>
      <c r="DE142" s="353"/>
      <c r="DF142" s="353"/>
      <c r="DG142" s="353"/>
      <c r="DH142" s="353"/>
      <c r="DI142" s="353"/>
      <c r="DJ142" s="353"/>
      <c r="DK142" s="353"/>
      <c r="DL142" s="353"/>
      <c r="DM142" s="353"/>
      <c r="DN142" s="353"/>
      <c r="DO142" s="353"/>
      <c r="DP142" s="353"/>
      <c r="DQ142" s="353"/>
      <c r="DR142" s="353"/>
      <c r="DS142" s="353"/>
      <c r="DT142" s="353"/>
      <c r="DU142" s="353"/>
      <c r="DV142" s="353"/>
      <c r="DW142" s="353"/>
      <c r="DX142" s="353"/>
      <c r="DY142" s="353"/>
      <c r="DZ142" s="353"/>
      <c r="EA142" s="353"/>
      <c r="EB142" s="353"/>
      <c r="EC142" s="353"/>
    </row>
    <row r="143" spans="2:133" s="354" customFormat="1" ht="15.75">
      <c r="B143" s="681"/>
      <c r="C143" s="681"/>
      <c r="D143" s="681"/>
      <c r="E143" s="681"/>
      <c r="F143" s="353"/>
      <c r="G143" s="353"/>
      <c r="H143" s="353"/>
      <c r="I143" s="353"/>
      <c r="J143" s="353"/>
      <c r="K143" s="353"/>
      <c r="L143" s="353"/>
      <c r="M143" s="353"/>
      <c r="N143" s="353"/>
      <c r="O143" s="353"/>
      <c r="P143" s="353"/>
      <c r="Q143" s="353"/>
      <c r="R143" s="353"/>
      <c r="S143" s="353"/>
      <c r="T143" s="353"/>
      <c r="U143" s="353"/>
      <c r="V143" s="353"/>
      <c r="W143" s="353"/>
      <c r="X143" s="353"/>
      <c r="Y143" s="353"/>
      <c r="Z143" s="353"/>
      <c r="AA143" s="353"/>
      <c r="AB143" s="353"/>
      <c r="AC143" s="353"/>
      <c r="AD143" s="353"/>
      <c r="AE143" s="353"/>
      <c r="AF143" s="353"/>
      <c r="AG143" s="353"/>
      <c r="AH143" s="353"/>
      <c r="AI143" s="353"/>
      <c r="AJ143" s="353"/>
      <c r="AK143" s="353"/>
      <c r="AL143" s="353"/>
      <c r="AM143" s="353"/>
      <c r="AN143" s="353"/>
      <c r="AO143" s="353"/>
      <c r="AP143" s="353"/>
      <c r="AQ143" s="353"/>
      <c r="AR143" s="353"/>
      <c r="AS143" s="353"/>
      <c r="AT143" s="353"/>
      <c r="AU143" s="353"/>
      <c r="AV143" s="353"/>
      <c r="AW143" s="353"/>
      <c r="AX143" s="353"/>
      <c r="AY143" s="353"/>
      <c r="AZ143" s="353"/>
      <c r="BA143" s="353"/>
      <c r="BB143" s="353"/>
      <c r="BC143" s="353"/>
      <c r="BD143" s="353"/>
      <c r="BE143" s="353"/>
      <c r="BF143" s="353"/>
      <c r="BG143" s="353"/>
      <c r="BH143" s="353"/>
      <c r="BI143" s="353"/>
      <c r="BJ143" s="353"/>
      <c r="BK143" s="353"/>
      <c r="BL143" s="353"/>
      <c r="BM143" s="353"/>
      <c r="BN143" s="353"/>
      <c r="BO143" s="353"/>
      <c r="BP143" s="353"/>
      <c r="BQ143" s="353"/>
      <c r="BR143" s="353"/>
      <c r="BS143" s="353"/>
      <c r="BT143" s="353"/>
      <c r="BU143" s="353"/>
      <c r="BV143" s="353"/>
      <c r="BW143" s="353"/>
      <c r="BX143" s="353"/>
      <c r="BY143" s="353"/>
      <c r="BZ143" s="353"/>
      <c r="CA143" s="353"/>
      <c r="CB143" s="353"/>
      <c r="CC143" s="353"/>
      <c r="CD143" s="353"/>
      <c r="CE143" s="353"/>
      <c r="CF143" s="353"/>
      <c r="CG143" s="353"/>
      <c r="CH143" s="353"/>
      <c r="CI143" s="353"/>
      <c r="CJ143" s="353"/>
      <c r="CK143" s="353"/>
      <c r="CL143" s="353"/>
      <c r="CM143" s="353"/>
      <c r="CN143" s="353"/>
      <c r="CO143" s="353"/>
      <c r="CP143" s="353"/>
      <c r="CQ143" s="353"/>
      <c r="CR143" s="353"/>
      <c r="CS143" s="353"/>
      <c r="CT143" s="353"/>
      <c r="CU143" s="353"/>
      <c r="CV143" s="353"/>
      <c r="CW143" s="353"/>
      <c r="CX143" s="353"/>
      <c r="CY143" s="353"/>
      <c r="CZ143" s="353"/>
      <c r="DA143" s="353"/>
      <c r="DB143" s="353"/>
      <c r="DC143" s="353"/>
      <c r="DD143" s="353"/>
      <c r="DE143" s="353"/>
      <c r="DF143" s="353"/>
      <c r="DG143" s="353"/>
      <c r="DH143" s="353"/>
      <c r="DI143" s="353"/>
      <c r="DJ143" s="353"/>
      <c r="DK143" s="353"/>
      <c r="DL143" s="353"/>
      <c r="DM143" s="353"/>
      <c r="DN143" s="353"/>
      <c r="DO143" s="353"/>
      <c r="DP143" s="353"/>
      <c r="DQ143" s="353"/>
      <c r="DR143" s="353"/>
      <c r="DS143" s="353"/>
      <c r="DT143" s="353"/>
      <c r="DU143" s="353"/>
      <c r="DV143" s="353"/>
      <c r="DW143" s="353"/>
      <c r="DX143" s="353"/>
      <c r="DY143" s="353"/>
      <c r="DZ143" s="353"/>
      <c r="EA143" s="353"/>
      <c r="EB143" s="353"/>
      <c r="EC143" s="353"/>
    </row>
    <row r="144" spans="2:133" s="354" customFormat="1" ht="15.75">
      <c r="B144" s="353"/>
      <c r="C144" s="353"/>
      <c r="D144" s="353"/>
      <c r="E144" s="353"/>
      <c r="F144" s="353"/>
      <c r="G144" s="353"/>
      <c r="H144" s="353"/>
      <c r="I144" s="353"/>
      <c r="J144" s="353"/>
      <c r="K144" s="353"/>
      <c r="L144" s="353"/>
      <c r="M144" s="353"/>
      <c r="N144" s="353"/>
      <c r="O144" s="353"/>
      <c r="P144" s="353"/>
      <c r="Q144" s="353"/>
      <c r="R144" s="353"/>
      <c r="S144" s="353"/>
      <c r="T144" s="353"/>
      <c r="U144" s="353"/>
      <c r="V144" s="353"/>
      <c r="W144" s="353"/>
      <c r="X144" s="353"/>
      <c r="Y144" s="353"/>
      <c r="Z144" s="353"/>
      <c r="AA144" s="353"/>
      <c r="AB144" s="353"/>
      <c r="AC144" s="353"/>
      <c r="AD144" s="353"/>
      <c r="AE144" s="353"/>
      <c r="AF144" s="353"/>
      <c r="AG144" s="353"/>
      <c r="AH144" s="353"/>
      <c r="AI144" s="353"/>
      <c r="AJ144" s="353"/>
      <c r="AK144" s="353"/>
      <c r="AL144" s="353"/>
      <c r="AM144" s="353"/>
      <c r="AN144" s="353"/>
      <c r="AO144" s="353"/>
      <c r="AP144" s="353"/>
      <c r="AQ144" s="353"/>
      <c r="AR144" s="353"/>
      <c r="AS144" s="353"/>
      <c r="AT144" s="353"/>
      <c r="AU144" s="353"/>
      <c r="AV144" s="353"/>
      <c r="AW144" s="353"/>
      <c r="AX144" s="353"/>
      <c r="AY144" s="353"/>
      <c r="AZ144" s="353"/>
      <c r="BA144" s="353"/>
      <c r="BB144" s="353"/>
      <c r="BC144" s="353"/>
      <c r="BD144" s="353"/>
      <c r="BE144" s="353"/>
      <c r="BF144" s="353"/>
      <c r="BG144" s="353"/>
      <c r="BH144" s="353"/>
      <c r="BI144" s="353"/>
      <c r="BJ144" s="353"/>
      <c r="BK144" s="353"/>
      <c r="BL144" s="353"/>
      <c r="BM144" s="353"/>
      <c r="BN144" s="353"/>
      <c r="BO144" s="353"/>
      <c r="BP144" s="353"/>
      <c r="BQ144" s="353"/>
      <c r="BR144" s="353"/>
      <c r="BS144" s="353"/>
      <c r="BT144" s="353"/>
      <c r="BU144" s="353"/>
      <c r="BV144" s="353"/>
      <c r="BW144" s="353"/>
      <c r="BX144" s="353"/>
      <c r="BY144" s="353"/>
      <c r="BZ144" s="353"/>
      <c r="CA144" s="353"/>
      <c r="CB144" s="353"/>
      <c r="CC144" s="353"/>
      <c r="CD144" s="353"/>
      <c r="CE144" s="353"/>
      <c r="CF144" s="353"/>
      <c r="CG144" s="353"/>
      <c r="CH144" s="353"/>
      <c r="CI144" s="353"/>
      <c r="CJ144" s="353"/>
      <c r="CK144" s="353"/>
      <c r="CL144" s="353"/>
      <c r="CM144" s="353"/>
      <c r="CN144" s="353"/>
      <c r="CO144" s="353"/>
      <c r="CP144" s="353"/>
      <c r="CQ144" s="353"/>
      <c r="CR144" s="353"/>
      <c r="CS144" s="353"/>
      <c r="CT144" s="353"/>
      <c r="CU144" s="353"/>
      <c r="CV144" s="353"/>
      <c r="CW144" s="353"/>
      <c r="CX144" s="353"/>
      <c r="CY144" s="353"/>
      <c r="CZ144" s="353"/>
      <c r="DA144" s="353"/>
      <c r="DB144" s="353"/>
      <c r="DC144" s="353"/>
      <c r="DD144" s="353"/>
      <c r="DE144" s="353"/>
      <c r="DF144" s="353"/>
      <c r="DG144" s="353"/>
      <c r="DH144" s="353"/>
      <c r="DI144" s="353"/>
      <c r="DJ144" s="353"/>
      <c r="DK144" s="353"/>
      <c r="DL144" s="353"/>
      <c r="DM144" s="353"/>
      <c r="DN144" s="353"/>
      <c r="DO144" s="353"/>
      <c r="DP144" s="353"/>
      <c r="DQ144" s="353"/>
      <c r="DR144" s="353"/>
      <c r="DS144" s="353"/>
      <c r="DT144" s="353"/>
      <c r="DU144" s="353"/>
      <c r="DV144" s="353"/>
      <c r="DW144" s="353"/>
      <c r="DX144" s="353"/>
      <c r="DY144" s="353"/>
      <c r="DZ144" s="353"/>
      <c r="EA144" s="353"/>
      <c r="EB144" s="353"/>
      <c r="EC144" s="353"/>
    </row>
    <row r="145" spans="2:133" s="354" customFormat="1" ht="18.75">
      <c r="B145" s="365"/>
      <c r="C145" s="353"/>
      <c r="D145" s="353"/>
      <c r="E145" s="353"/>
      <c r="F145" s="353"/>
      <c r="G145" s="353"/>
      <c r="H145" s="353"/>
      <c r="I145" s="353"/>
      <c r="J145" s="353"/>
      <c r="K145" s="353"/>
      <c r="L145" s="353"/>
      <c r="M145" s="353"/>
      <c r="N145" s="353"/>
      <c r="O145" s="353"/>
      <c r="P145" s="353"/>
      <c r="Q145" s="353"/>
      <c r="R145" s="353"/>
      <c r="S145" s="353"/>
      <c r="T145" s="353"/>
      <c r="U145" s="353"/>
      <c r="V145" s="353"/>
      <c r="W145" s="353"/>
      <c r="X145" s="353"/>
      <c r="Y145" s="353"/>
      <c r="Z145" s="353"/>
      <c r="AA145" s="353"/>
      <c r="AB145" s="353"/>
      <c r="AC145" s="353"/>
      <c r="AD145" s="353"/>
      <c r="AE145" s="353"/>
      <c r="AF145" s="353"/>
      <c r="AG145" s="353"/>
      <c r="AH145" s="353"/>
      <c r="AI145" s="353"/>
      <c r="AJ145" s="353"/>
      <c r="AK145" s="353"/>
      <c r="AL145" s="353"/>
      <c r="AM145" s="353"/>
      <c r="AN145" s="353"/>
      <c r="AO145" s="353"/>
      <c r="AP145" s="353"/>
      <c r="AQ145" s="353"/>
      <c r="AR145" s="353"/>
      <c r="AS145" s="353"/>
      <c r="AT145" s="353"/>
      <c r="AU145" s="353"/>
      <c r="AV145" s="353"/>
      <c r="AW145" s="353"/>
      <c r="AX145" s="353"/>
      <c r="AY145" s="353"/>
      <c r="AZ145" s="353"/>
      <c r="BA145" s="353"/>
      <c r="BB145" s="353"/>
      <c r="BC145" s="353"/>
      <c r="BD145" s="353"/>
      <c r="BE145" s="353"/>
      <c r="BF145" s="353"/>
      <c r="BG145" s="353"/>
      <c r="BH145" s="353"/>
      <c r="BI145" s="353"/>
      <c r="BJ145" s="353"/>
      <c r="BK145" s="353"/>
      <c r="BL145" s="353"/>
      <c r="BM145" s="353"/>
      <c r="BN145" s="353"/>
      <c r="BO145" s="353"/>
      <c r="BP145" s="353"/>
      <c r="BQ145" s="353"/>
      <c r="BR145" s="353"/>
      <c r="BS145" s="353"/>
      <c r="BT145" s="353"/>
      <c r="BU145" s="353"/>
      <c r="BV145" s="353"/>
      <c r="BW145" s="353"/>
      <c r="BX145" s="353"/>
      <c r="BY145" s="353"/>
      <c r="BZ145" s="353"/>
      <c r="CA145" s="353"/>
      <c r="CB145" s="353"/>
      <c r="CC145" s="353"/>
      <c r="CD145" s="353"/>
      <c r="CE145" s="353"/>
      <c r="CF145" s="353"/>
      <c r="CG145" s="353"/>
      <c r="CH145" s="353"/>
      <c r="CI145" s="353"/>
      <c r="CJ145" s="353"/>
      <c r="CK145" s="353"/>
      <c r="CL145" s="353"/>
      <c r="CM145" s="353"/>
      <c r="CN145" s="353"/>
      <c r="CO145" s="353"/>
      <c r="CP145" s="353"/>
      <c r="CQ145" s="353"/>
      <c r="CR145" s="353"/>
      <c r="CS145" s="353"/>
      <c r="CT145" s="353"/>
      <c r="CU145" s="353"/>
      <c r="CV145" s="353"/>
      <c r="CW145" s="353"/>
      <c r="CX145" s="353"/>
      <c r="CY145" s="353"/>
      <c r="CZ145" s="353"/>
      <c r="DA145" s="353"/>
      <c r="DB145" s="353"/>
      <c r="DC145" s="353"/>
      <c r="DD145" s="353"/>
      <c r="DE145" s="353"/>
      <c r="DF145" s="353"/>
      <c r="DG145" s="353"/>
      <c r="DH145" s="353"/>
      <c r="DI145" s="353"/>
      <c r="DJ145" s="353"/>
      <c r="DK145" s="353"/>
      <c r="DL145" s="353"/>
      <c r="DM145" s="353"/>
      <c r="DN145" s="353"/>
      <c r="DO145" s="353"/>
      <c r="DP145" s="353"/>
      <c r="DQ145" s="353"/>
      <c r="DR145" s="353"/>
      <c r="DS145" s="353"/>
      <c r="DT145" s="353"/>
      <c r="DU145" s="353"/>
      <c r="DV145" s="353"/>
      <c r="DW145" s="353"/>
      <c r="DX145" s="353"/>
      <c r="DY145" s="353"/>
      <c r="DZ145" s="353"/>
      <c r="EA145" s="353"/>
      <c r="EB145" s="353"/>
      <c r="EC145" s="353"/>
    </row>
    <row r="146" spans="2:133" s="354" customFormat="1" ht="15.75">
      <c r="B146" s="355"/>
      <c r="C146" s="353"/>
      <c r="D146" s="353"/>
      <c r="E146" s="353"/>
      <c r="F146" s="353"/>
      <c r="G146" s="353"/>
      <c r="H146" s="353"/>
      <c r="I146" s="353"/>
      <c r="J146" s="353"/>
      <c r="K146" s="353"/>
      <c r="L146" s="353"/>
      <c r="M146" s="353"/>
      <c r="N146" s="353"/>
      <c r="O146" s="353"/>
      <c r="P146" s="353"/>
      <c r="Q146" s="353"/>
      <c r="R146" s="353"/>
      <c r="S146" s="353"/>
      <c r="T146" s="353"/>
      <c r="U146" s="353"/>
      <c r="V146" s="353"/>
      <c r="W146" s="353"/>
      <c r="X146" s="353"/>
      <c r="Y146" s="353"/>
      <c r="Z146" s="353"/>
      <c r="AA146" s="353"/>
      <c r="AB146" s="353"/>
      <c r="AC146" s="353"/>
      <c r="AD146" s="353"/>
      <c r="AE146" s="353"/>
      <c r="AF146" s="353"/>
      <c r="AG146" s="353"/>
      <c r="AH146" s="353"/>
      <c r="AI146" s="353"/>
      <c r="AJ146" s="353"/>
      <c r="AK146" s="353"/>
      <c r="AL146" s="353"/>
      <c r="AM146" s="353"/>
      <c r="AN146" s="353"/>
      <c r="AO146" s="353"/>
      <c r="AP146" s="353"/>
      <c r="AQ146" s="353"/>
      <c r="AR146" s="353"/>
      <c r="AS146" s="353"/>
      <c r="AT146" s="353"/>
      <c r="AU146" s="353"/>
      <c r="AV146" s="353"/>
      <c r="AW146" s="353"/>
      <c r="AX146" s="353"/>
      <c r="AY146" s="353"/>
      <c r="AZ146" s="353"/>
      <c r="BA146" s="353"/>
      <c r="BB146" s="353"/>
      <c r="BC146" s="353"/>
      <c r="BD146" s="353"/>
      <c r="BE146" s="353"/>
      <c r="BF146" s="353"/>
      <c r="BG146" s="353"/>
      <c r="BH146" s="353"/>
      <c r="BI146" s="353"/>
      <c r="BJ146" s="353"/>
      <c r="BK146" s="353"/>
      <c r="BL146" s="353"/>
      <c r="BM146" s="353"/>
      <c r="BN146" s="353"/>
      <c r="BO146" s="353"/>
      <c r="BP146" s="353"/>
      <c r="BQ146" s="353"/>
      <c r="BR146" s="353"/>
      <c r="BS146" s="353"/>
      <c r="BT146" s="353"/>
      <c r="BU146" s="353"/>
      <c r="BV146" s="353"/>
      <c r="BW146" s="353"/>
      <c r="BX146" s="353"/>
      <c r="BY146" s="353"/>
      <c r="BZ146" s="353"/>
      <c r="CA146" s="353"/>
      <c r="CB146" s="353"/>
      <c r="CC146" s="353"/>
      <c r="CD146" s="353"/>
      <c r="CE146" s="353"/>
      <c r="CF146" s="353"/>
      <c r="CG146" s="353"/>
      <c r="CH146" s="353"/>
      <c r="CI146" s="353"/>
      <c r="CJ146" s="353"/>
      <c r="CK146" s="353"/>
      <c r="CL146" s="353"/>
      <c r="CM146" s="353"/>
      <c r="CN146" s="353"/>
      <c r="CO146" s="353"/>
      <c r="CP146" s="353"/>
      <c r="CQ146" s="353"/>
      <c r="CR146" s="353"/>
      <c r="CS146" s="353"/>
      <c r="CT146" s="353"/>
      <c r="CU146" s="353"/>
      <c r="CV146" s="353"/>
      <c r="CW146" s="353"/>
      <c r="CX146" s="353"/>
      <c r="CY146" s="353"/>
      <c r="CZ146" s="353"/>
      <c r="DA146" s="353"/>
      <c r="DB146" s="353"/>
      <c r="DC146" s="353"/>
      <c r="DD146" s="353"/>
      <c r="DE146" s="353"/>
      <c r="DF146" s="353"/>
      <c r="DG146" s="353"/>
      <c r="DH146" s="353"/>
      <c r="DI146" s="353"/>
      <c r="DJ146" s="353"/>
      <c r="DK146" s="353"/>
      <c r="DL146" s="353"/>
      <c r="DM146" s="353"/>
      <c r="DN146" s="353"/>
      <c r="DO146" s="353"/>
      <c r="DP146" s="353"/>
      <c r="DQ146" s="353"/>
      <c r="DR146" s="353"/>
      <c r="DS146" s="353"/>
      <c r="DT146" s="353"/>
      <c r="DU146" s="353"/>
      <c r="DV146" s="353"/>
      <c r="DW146" s="353"/>
      <c r="DX146" s="353"/>
      <c r="DY146" s="353"/>
      <c r="DZ146" s="353"/>
      <c r="EA146" s="353"/>
      <c r="EB146" s="353"/>
      <c r="EC146" s="353"/>
    </row>
    <row r="147" s="353" customFormat="1" ht="15.75"/>
    <row r="148" spans="2:133" s="354" customFormat="1" ht="15.75">
      <c r="B148" s="353"/>
      <c r="C148" s="353"/>
      <c r="D148" s="353"/>
      <c r="E148" s="371"/>
      <c r="F148" s="353"/>
      <c r="G148" s="353"/>
      <c r="H148" s="353"/>
      <c r="I148" s="353"/>
      <c r="J148" s="353"/>
      <c r="K148" s="353"/>
      <c r="L148" s="353"/>
      <c r="M148" s="353"/>
      <c r="N148" s="353"/>
      <c r="O148" s="353"/>
      <c r="P148" s="353"/>
      <c r="Q148" s="353"/>
      <c r="R148" s="353"/>
      <c r="S148" s="353"/>
      <c r="T148" s="353"/>
      <c r="U148" s="353"/>
      <c r="V148" s="353"/>
      <c r="W148" s="353"/>
      <c r="X148" s="353"/>
      <c r="Y148" s="353"/>
      <c r="Z148" s="353"/>
      <c r="AA148" s="353"/>
      <c r="AB148" s="353"/>
      <c r="AC148" s="353"/>
      <c r="AD148" s="353"/>
      <c r="AE148" s="353"/>
      <c r="AF148" s="353"/>
      <c r="AG148" s="353"/>
      <c r="AH148" s="353"/>
      <c r="AI148" s="353"/>
      <c r="AJ148" s="353"/>
      <c r="AK148" s="353"/>
      <c r="AL148" s="353"/>
      <c r="AM148" s="353"/>
      <c r="AN148" s="353"/>
      <c r="AO148" s="353"/>
      <c r="AP148" s="353"/>
      <c r="AQ148" s="353"/>
      <c r="AR148" s="353"/>
      <c r="AS148" s="353"/>
      <c r="AT148" s="353"/>
      <c r="AU148" s="353"/>
      <c r="AV148" s="353"/>
      <c r="AW148" s="353"/>
      <c r="AX148" s="353"/>
      <c r="AY148" s="353"/>
      <c r="AZ148" s="353"/>
      <c r="BA148" s="353"/>
      <c r="BB148" s="353"/>
      <c r="BC148" s="353"/>
      <c r="BD148" s="353"/>
      <c r="BE148" s="353"/>
      <c r="BF148" s="353"/>
      <c r="BG148" s="353"/>
      <c r="BH148" s="353"/>
      <c r="BI148" s="353"/>
      <c r="BJ148" s="353"/>
      <c r="BK148" s="353"/>
      <c r="BL148" s="353"/>
      <c r="BM148" s="353"/>
      <c r="BN148" s="353"/>
      <c r="BO148" s="353"/>
      <c r="BP148" s="353"/>
      <c r="BQ148" s="353"/>
      <c r="BR148" s="353"/>
      <c r="BS148" s="353"/>
      <c r="BT148" s="353"/>
      <c r="BU148" s="353"/>
      <c r="BV148" s="353"/>
      <c r="BW148" s="353"/>
      <c r="BX148" s="353"/>
      <c r="BY148" s="353"/>
      <c r="BZ148" s="353"/>
      <c r="CA148" s="353"/>
      <c r="CB148" s="353"/>
      <c r="CC148" s="353"/>
      <c r="CD148" s="353"/>
      <c r="CE148" s="353"/>
      <c r="CF148" s="353"/>
      <c r="CG148" s="353"/>
      <c r="CH148" s="353"/>
      <c r="CI148" s="353"/>
      <c r="CJ148" s="353"/>
      <c r="CK148" s="353"/>
      <c r="CL148" s="353"/>
      <c r="CM148" s="353"/>
      <c r="CN148" s="353"/>
      <c r="CO148" s="353"/>
      <c r="CP148" s="353"/>
      <c r="CQ148" s="353"/>
      <c r="CR148" s="353"/>
      <c r="CS148" s="353"/>
      <c r="CT148" s="353"/>
      <c r="CU148" s="353"/>
      <c r="CV148" s="353"/>
      <c r="CW148" s="353"/>
      <c r="CX148" s="353"/>
      <c r="CY148" s="353"/>
      <c r="CZ148" s="353"/>
      <c r="DA148" s="353"/>
      <c r="DB148" s="353"/>
      <c r="DC148" s="353"/>
      <c r="DD148" s="353"/>
      <c r="DE148" s="353"/>
      <c r="DF148" s="353"/>
      <c r="DG148" s="353"/>
      <c r="DH148" s="353"/>
      <c r="DI148" s="353"/>
      <c r="DJ148" s="353"/>
      <c r="DK148" s="353"/>
      <c r="DL148" s="353"/>
      <c r="DM148" s="353"/>
      <c r="DN148" s="353"/>
      <c r="DO148" s="353"/>
      <c r="DP148" s="353"/>
      <c r="DQ148" s="353"/>
      <c r="DR148" s="353"/>
      <c r="DS148" s="353"/>
      <c r="DT148" s="353"/>
      <c r="DU148" s="353"/>
      <c r="DV148" s="353"/>
      <c r="DW148" s="353"/>
      <c r="DX148" s="353"/>
      <c r="DY148" s="353"/>
      <c r="DZ148" s="353"/>
      <c r="EA148" s="353"/>
      <c r="EB148" s="353"/>
      <c r="EC148" s="353"/>
    </row>
    <row r="149" spans="2:133" s="354" customFormat="1" ht="15.75">
      <c r="B149" s="353"/>
      <c r="C149" s="353"/>
      <c r="D149" s="353"/>
      <c r="E149" s="371"/>
      <c r="F149" s="353"/>
      <c r="G149" s="353"/>
      <c r="H149" s="353"/>
      <c r="I149" s="353"/>
      <c r="J149" s="353"/>
      <c r="K149" s="353"/>
      <c r="L149" s="353"/>
      <c r="M149" s="353"/>
      <c r="N149" s="353"/>
      <c r="O149" s="353"/>
      <c r="P149" s="353"/>
      <c r="Q149" s="353"/>
      <c r="R149" s="353"/>
      <c r="S149" s="353"/>
      <c r="T149" s="353"/>
      <c r="U149" s="353"/>
      <c r="V149" s="353"/>
      <c r="W149" s="353"/>
      <c r="X149" s="353"/>
      <c r="Y149" s="353"/>
      <c r="Z149" s="353"/>
      <c r="AA149" s="353"/>
      <c r="AB149" s="353"/>
      <c r="AC149" s="353"/>
      <c r="AD149" s="353"/>
      <c r="AE149" s="353"/>
      <c r="AF149" s="353"/>
      <c r="AG149" s="353"/>
      <c r="AH149" s="353"/>
      <c r="AI149" s="353"/>
      <c r="AJ149" s="353"/>
      <c r="AK149" s="353"/>
      <c r="AL149" s="353"/>
      <c r="AM149" s="353"/>
      <c r="AN149" s="353"/>
      <c r="AO149" s="353"/>
      <c r="AP149" s="353"/>
      <c r="AQ149" s="353"/>
      <c r="AR149" s="353"/>
      <c r="AS149" s="353"/>
      <c r="AT149" s="353"/>
      <c r="AU149" s="353"/>
      <c r="AV149" s="353"/>
      <c r="AW149" s="353"/>
      <c r="AX149" s="353"/>
      <c r="AY149" s="353"/>
      <c r="AZ149" s="353"/>
      <c r="BA149" s="353"/>
      <c r="BB149" s="353"/>
      <c r="BC149" s="353"/>
      <c r="BD149" s="353"/>
      <c r="BE149" s="353"/>
      <c r="BF149" s="353"/>
      <c r="BG149" s="353"/>
      <c r="BH149" s="353"/>
      <c r="BI149" s="353"/>
      <c r="BJ149" s="353"/>
      <c r="BK149" s="353"/>
      <c r="BL149" s="353"/>
      <c r="BM149" s="353"/>
      <c r="BN149" s="353"/>
      <c r="BO149" s="353"/>
      <c r="BP149" s="353"/>
      <c r="BQ149" s="353"/>
      <c r="BR149" s="353"/>
      <c r="BS149" s="353"/>
      <c r="BT149" s="353"/>
      <c r="BU149" s="353"/>
      <c r="BV149" s="353"/>
      <c r="BW149" s="353"/>
      <c r="BX149" s="353"/>
      <c r="BY149" s="353"/>
      <c r="BZ149" s="353"/>
      <c r="CA149" s="353"/>
      <c r="CB149" s="353"/>
      <c r="CC149" s="353"/>
      <c r="CD149" s="353"/>
      <c r="CE149" s="353"/>
      <c r="CF149" s="353"/>
      <c r="CG149" s="353"/>
      <c r="CH149" s="353"/>
      <c r="CI149" s="353"/>
      <c r="CJ149" s="353"/>
      <c r="CK149" s="353"/>
      <c r="CL149" s="353"/>
      <c r="CM149" s="353"/>
      <c r="CN149" s="353"/>
      <c r="CO149" s="353"/>
      <c r="CP149" s="353"/>
      <c r="CQ149" s="353"/>
      <c r="CR149" s="353"/>
      <c r="CS149" s="353"/>
      <c r="CT149" s="353"/>
      <c r="CU149" s="353"/>
      <c r="CV149" s="353"/>
      <c r="CW149" s="353"/>
      <c r="CX149" s="353"/>
      <c r="CY149" s="353"/>
      <c r="CZ149" s="353"/>
      <c r="DA149" s="353"/>
      <c r="DB149" s="353"/>
      <c r="DC149" s="353"/>
      <c r="DD149" s="353"/>
      <c r="DE149" s="353"/>
      <c r="DF149" s="353"/>
      <c r="DG149" s="353"/>
      <c r="DH149" s="353"/>
      <c r="DI149" s="353"/>
      <c r="DJ149" s="353"/>
      <c r="DK149" s="353"/>
      <c r="DL149" s="353"/>
      <c r="DM149" s="353"/>
      <c r="DN149" s="353"/>
      <c r="DO149" s="353"/>
      <c r="DP149" s="353"/>
      <c r="DQ149" s="353"/>
      <c r="DR149" s="353"/>
      <c r="DS149" s="353"/>
      <c r="DT149" s="353"/>
      <c r="DU149" s="353"/>
      <c r="DV149" s="353"/>
      <c r="DW149" s="353"/>
      <c r="DX149" s="353"/>
      <c r="DY149" s="353"/>
      <c r="DZ149" s="353"/>
      <c r="EA149" s="353"/>
      <c r="EB149" s="353"/>
      <c r="EC149" s="353"/>
    </row>
    <row r="150" spans="2:133" s="354" customFormat="1" ht="15.75">
      <c r="B150" s="353"/>
      <c r="C150" s="353"/>
      <c r="D150" s="353"/>
      <c r="E150" s="353"/>
      <c r="F150" s="353"/>
      <c r="G150" s="353"/>
      <c r="H150" s="353"/>
      <c r="I150" s="353"/>
      <c r="J150" s="353"/>
      <c r="K150" s="353"/>
      <c r="L150" s="353"/>
      <c r="M150" s="353"/>
      <c r="N150" s="353"/>
      <c r="O150" s="353"/>
      <c r="P150" s="353"/>
      <c r="Q150" s="353"/>
      <c r="R150" s="353"/>
      <c r="S150" s="353"/>
      <c r="T150" s="353"/>
      <c r="U150" s="353"/>
      <c r="V150" s="353"/>
      <c r="W150" s="353"/>
      <c r="X150" s="353"/>
      <c r="Y150" s="353"/>
      <c r="Z150" s="353"/>
      <c r="AA150" s="353"/>
      <c r="AB150" s="353"/>
      <c r="AC150" s="353"/>
      <c r="AD150" s="353"/>
      <c r="AE150" s="353"/>
      <c r="AF150" s="353"/>
      <c r="AG150" s="353"/>
      <c r="AH150" s="353"/>
      <c r="AI150" s="353"/>
      <c r="AJ150" s="353"/>
      <c r="AK150" s="353"/>
      <c r="AL150" s="353"/>
      <c r="AM150" s="353"/>
      <c r="AN150" s="353"/>
      <c r="AO150" s="353"/>
      <c r="AP150" s="353"/>
      <c r="AQ150" s="353"/>
      <c r="AR150" s="353"/>
      <c r="AS150" s="353"/>
      <c r="AT150" s="353"/>
      <c r="AU150" s="353"/>
      <c r="AV150" s="353"/>
      <c r="AW150" s="353"/>
      <c r="AX150" s="353"/>
      <c r="AY150" s="353"/>
      <c r="AZ150" s="353"/>
      <c r="BA150" s="353"/>
      <c r="BB150" s="353"/>
      <c r="BC150" s="353"/>
      <c r="BD150" s="353"/>
      <c r="BE150" s="353"/>
      <c r="BF150" s="353"/>
      <c r="BG150" s="353"/>
      <c r="BH150" s="353"/>
      <c r="BI150" s="353"/>
      <c r="BJ150" s="353"/>
      <c r="BK150" s="353"/>
      <c r="BL150" s="353"/>
      <c r="BM150" s="353"/>
      <c r="BN150" s="353"/>
      <c r="BO150" s="353"/>
      <c r="BP150" s="353"/>
      <c r="BQ150" s="353"/>
      <c r="BR150" s="353"/>
      <c r="BS150" s="353"/>
      <c r="BT150" s="353"/>
      <c r="BU150" s="353"/>
      <c r="BV150" s="353"/>
      <c r="BW150" s="353"/>
      <c r="BX150" s="353"/>
      <c r="BY150" s="353"/>
      <c r="BZ150" s="353"/>
      <c r="CA150" s="353"/>
      <c r="CB150" s="353"/>
      <c r="CC150" s="353"/>
      <c r="CD150" s="353"/>
      <c r="CE150" s="353"/>
      <c r="CF150" s="353"/>
      <c r="CG150" s="353"/>
      <c r="CH150" s="353"/>
      <c r="CI150" s="353"/>
      <c r="CJ150" s="353"/>
      <c r="CK150" s="353"/>
      <c r="CL150" s="353"/>
      <c r="CM150" s="353"/>
      <c r="CN150" s="353"/>
      <c r="CO150" s="353"/>
      <c r="CP150" s="353"/>
      <c r="CQ150" s="353"/>
      <c r="CR150" s="353"/>
      <c r="CS150" s="353"/>
      <c r="CT150" s="353"/>
      <c r="CU150" s="353"/>
      <c r="CV150" s="353"/>
      <c r="CW150" s="353"/>
      <c r="CX150" s="353"/>
      <c r="CY150" s="353"/>
      <c r="CZ150" s="353"/>
      <c r="DA150" s="353"/>
      <c r="DB150" s="353"/>
      <c r="DC150" s="353"/>
      <c r="DD150" s="353"/>
      <c r="DE150" s="353"/>
      <c r="DF150" s="353"/>
      <c r="DG150" s="353"/>
      <c r="DH150" s="353"/>
      <c r="DI150" s="353"/>
      <c r="DJ150" s="353"/>
      <c r="DK150" s="353"/>
      <c r="DL150" s="353"/>
      <c r="DM150" s="353"/>
      <c r="DN150" s="353"/>
      <c r="DO150" s="353"/>
      <c r="DP150" s="353"/>
      <c r="DQ150" s="353"/>
      <c r="DR150" s="353"/>
      <c r="DS150" s="353"/>
      <c r="DT150" s="353"/>
      <c r="DU150" s="353"/>
      <c r="DV150" s="353"/>
      <c r="DW150" s="353"/>
      <c r="DX150" s="353"/>
      <c r="DY150" s="353"/>
      <c r="DZ150" s="353"/>
      <c r="EA150" s="353"/>
      <c r="EB150" s="353"/>
      <c r="EC150" s="353"/>
    </row>
    <row r="151" spans="2:133" s="354" customFormat="1" ht="15.75">
      <c r="B151" s="353"/>
      <c r="C151" s="353"/>
      <c r="D151" s="353"/>
      <c r="E151" s="371"/>
      <c r="F151" s="353"/>
      <c r="G151" s="353"/>
      <c r="H151" s="353"/>
      <c r="I151" s="353"/>
      <c r="J151" s="353"/>
      <c r="K151" s="353"/>
      <c r="L151" s="353"/>
      <c r="M151" s="353"/>
      <c r="N151" s="353"/>
      <c r="O151" s="353"/>
      <c r="P151" s="353"/>
      <c r="Q151" s="353"/>
      <c r="R151" s="353"/>
      <c r="S151" s="353"/>
      <c r="T151" s="353"/>
      <c r="U151" s="353"/>
      <c r="V151" s="353"/>
      <c r="W151" s="353"/>
      <c r="X151" s="353"/>
      <c r="Y151" s="353"/>
      <c r="Z151" s="353"/>
      <c r="AA151" s="353"/>
      <c r="AB151" s="353"/>
      <c r="AC151" s="353"/>
      <c r="AD151" s="353"/>
      <c r="AE151" s="353"/>
      <c r="AF151" s="353"/>
      <c r="AG151" s="353"/>
      <c r="AH151" s="353"/>
      <c r="AI151" s="353"/>
      <c r="AJ151" s="353"/>
      <c r="AK151" s="353"/>
      <c r="AL151" s="353"/>
      <c r="AM151" s="353"/>
      <c r="AN151" s="353"/>
      <c r="AO151" s="353"/>
      <c r="AP151" s="353"/>
      <c r="AQ151" s="353"/>
      <c r="AR151" s="353"/>
      <c r="AS151" s="353"/>
      <c r="AT151" s="353"/>
      <c r="AU151" s="353"/>
      <c r="AV151" s="353"/>
      <c r="AW151" s="353"/>
      <c r="AX151" s="353"/>
      <c r="AY151" s="353"/>
      <c r="AZ151" s="353"/>
      <c r="BA151" s="353"/>
      <c r="BB151" s="353"/>
      <c r="BC151" s="353"/>
      <c r="BD151" s="353"/>
      <c r="BE151" s="353"/>
      <c r="BF151" s="353"/>
      <c r="BG151" s="353"/>
      <c r="BH151" s="353"/>
      <c r="BI151" s="353"/>
      <c r="BJ151" s="353"/>
      <c r="BK151" s="353"/>
      <c r="BL151" s="353"/>
      <c r="BM151" s="353"/>
      <c r="BN151" s="353"/>
      <c r="BO151" s="353"/>
      <c r="BP151" s="353"/>
      <c r="BQ151" s="353"/>
      <c r="BR151" s="353"/>
      <c r="BS151" s="353"/>
      <c r="BT151" s="353"/>
      <c r="BU151" s="353"/>
      <c r="BV151" s="353"/>
      <c r="BW151" s="353"/>
      <c r="BX151" s="353"/>
      <c r="BY151" s="353"/>
      <c r="BZ151" s="353"/>
      <c r="CA151" s="353"/>
      <c r="CB151" s="353"/>
      <c r="CC151" s="353"/>
      <c r="CD151" s="353"/>
      <c r="CE151" s="353"/>
      <c r="CF151" s="353"/>
      <c r="CG151" s="353"/>
      <c r="CH151" s="353"/>
      <c r="CI151" s="353"/>
      <c r="CJ151" s="353"/>
      <c r="CK151" s="353"/>
      <c r="CL151" s="353"/>
      <c r="CM151" s="353"/>
      <c r="CN151" s="353"/>
      <c r="CO151" s="353"/>
      <c r="CP151" s="353"/>
      <c r="CQ151" s="353"/>
      <c r="CR151" s="353"/>
      <c r="CS151" s="353"/>
      <c r="CT151" s="353"/>
      <c r="CU151" s="353"/>
      <c r="CV151" s="353"/>
      <c r="CW151" s="353"/>
      <c r="CX151" s="353"/>
      <c r="CY151" s="353"/>
      <c r="CZ151" s="353"/>
      <c r="DA151" s="353"/>
      <c r="DB151" s="353"/>
      <c r="DC151" s="353"/>
      <c r="DD151" s="353"/>
      <c r="DE151" s="353"/>
      <c r="DF151" s="353"/>
      <c r="DG151" s="353"/>
      <c r="DH151" s="353"/>
      <c r="DI151" s="353"/>
      <c r="DJ151" s="353"/>
      <c r="DK151" s="353"/>
      <c r="DL151" s="353"/>
      <c r="DM151" s="353"/>
      <c r="DN151" s="353"/>
      <c r="DO151" s="353"/>
      <c r="DP151" s="353"/>
      <c r="DQ151" s="353"/>
      <c r="DR151" s="353"/>
      <c r="DS151" s="353"/>
      <c r="DT151" s="353"/>
      <c r="DU151" s="353"/>
      <c r="DV151" s="353"/>
      <c r="DW151" s="353"/>
      <c r="DX151" s="353"/>
      <c r="DY151" s="353"/>
      <c r="DZ151" s="353"/>
      <c r="EA151" s="353"/>
      <c r="EB151" s="353"/>
      <c r="EC151" s="353"/>
    </row>
    <row r="152" spans="2:133" s="354" customFormat="1" ht="15.75">
      <c r="B152" s="353"/>
      <c r="C152" s="353"/>
      <c r="D152" s="353"/>
      <c r="E152" s="371"/>
      <c r="F152" s="353"/>
      <c r="G152" s="353"/>
      <c r="H152" s="353"/>
      <c r="I152" s="353"/>
      <c r="J152" s="353"/>
      <c r="K152" s="353"/>
      <c r="L152" s="353"/>
      <c r="M152" s="353"/>
      <c r="N152" s="353"/>
      <c r="O152" s="353"/>
      <c r="P152" s="353"/>
      <c r="Q152" s="353"/>
      <c r="R152" s="353"/>
      <c r="S152" s="353"/>
      <c r="T152" s="353"/>
      <c r="U152" s="353"/>
      <c r="V152" s="353"/>
      <c r="W152" s="353"/>
      <c r="X152" s="353"/>
      <c r="Y152" s="353"/>
      <c r="Z152" s="353"/>
      <c r="AA152" s="353"/>
      <c r="AB152" s="353"/>
      <c r="AC152" s="353"/>
      <c r="AD152" s="353"/>
      <c r="AE152" s="353"/>
      <c r="AF152" s="353"/>
      <c r="AG152" s="353"/>
      <c r="AH152" s="353"/>
      <c r="AI152" s="353"/>
      <c r="AJ152" s="353"/>
      <c r="AK152" s="353"/>
      <c r="AL152" s="353"/>
      <c r="AM152" s="353"/>
      <c r="AN152" s="353"/>
      <c r="AO152" s="353"/>
      <c r="AP152" s="353"/>
      <c r="AQ152" s="353"/>
      <c r="AR152" s="353"/>
      <c r="AS152" s="353"/>
      <c r="AT152" s="353"/>
      <c r="AU152" s="353"/>
      <c r="AV152" s="353"/>
      <c r="AW152" s="353"/>
      <c r="AX152" s="353"/>
      <c r="AY152" s="353"/>
      <c r="AZ152" s="353"/>
      <c r="BA152" s="353"/>
      <c r="BB152" s="353"/>
      <c r="BC152" s="353"/>
      <c r="BD152" s="353"/>
      <c r="BE152" s="353"/>
      <c r="BF152" s="353"/>
      <c r="BG152" s="353"/>
      <c r="BH152" s="353"/>
      <c r="BI152" s="353"/>
      <c r="BJ152" s="353"/>
      <c r="BK152" s="353"/>
      <c r="BL152" s="353"/>
      <c r="BM152" s="353"/>
      <c r="BN152" s="353"/>
      <c r="BO152" s="353"/>
      <c r="BP152" s="353"/>
      <c r="BQ152" s="353"/>
      <c r="BR152" s="353"/>
      <c r="BS152" s="353"/>
      <c r="BT152" s="353"/>
      <c r="BU152" s="353"/>
      <c r="BV152" s="353"/>
      <c r="BW152" s="353"/>
      <c r="BX152" s="353"/>
      <c r="BY152" s="353"/>
      <c r="BZ152" s="353"/>
      <c r="CA152" s="353"/>
      <c r="CB152" s="353"/>
      <c r="CC152" s="353"/>
      <c r="CD152" s="353"/>
      <c r="CE152" s="353"/>
      <c r="CF152" s="353"/>
      <c r="CG152" s="353"/>
      <c r="CH152" s="353"/>
      <c r="CI152" s="353"/>
      <c r="CJ152" s="353"/>
      <c r="CK152" s="353"/>
      <c r="CL152" s="353"/>
      <c r="CM152" s="353"/>
      <c r="CN152" s="353"/>
      <c r="CO152" s="353"/>
      <c r="CP152" s="353"/>
      <c r="CQ152" s="353"/>
      <c r="CR152" s="353"/>
      <c r="CS152" s="353"/>
      <c r="CT152" s="353"/>
      <c r="CU152" s="353"/>
      <c r="CV152" s="353"/>
      <c r="CW152" s="353"/>
      <c r="CX152" s="353"/>
      <c r="CY152" s="353"/>
      <c r="CZ152" s="353"/>
      <c r="DA152" s="353"/>
      <c r="DB152" s="353"/>
      <c r="DC152" s="353"/>
      <c r="DD152" s="353"/>
      <c r="DE152" s="353"/>
      <c r="DF152" s="353"/>
      <c r="DG152" s="353"/>
      <c r="DH152" s="353"/>
      <c r="DI152" s="353"/>
      <c r="DJ152" s="353"/>
      <c r="DK152" s="353"/>
      <c r="DL152" s="353"/>
      <c r="DM152" s="353"/>
      <c r="DN152" s="353"/>
      <c r="DO152" s="353"/>
      <c r="DP152" s="353"/>
      <c r="DQ152" s="353"/>
      <c r="DR152" s="353"/>
      <c r="DS152" s="353"/>
      <c r="DT152" s="353"/>
      <c r="DU152" s="353"/>
      <c r="DV152" s="353"/>
      <c r="DW152" s="353"/>
      <c r="DX152" s="353"/>
      <c r="DY152" s="353"/>
      <c r="DZ152" s="353"/>
      <c r="EA152" s="353"/>
      <c r="EB152" s="353"/>
      <c r="EC152" s="353"/>
    </row>
    <row r="153" spans="2:133" s="354" customFormat="1" ht="15.75">
      <c r="B153" s="353"/>
      <c r="C153" s="353"/>
      <c r="D153" s="353"/>
      <c r="E153" s="353"/>
      <c r="F153" s="353"/>
      <c r="G153" s="353"/>
      <c r="H153" s="353"/>
      <c r="I153" s="353"/>
      <c r="J153" s="353"/>
      <c r="K153" s="353"/>
      <c r="L153" s="353"/>
      <c r="M153" s="353"/>
      <c r="N153" s="353"/>
      <c r="O153" s="353"/>
      <c r="P153" s="353"/>
      <c r="Q153" s="353"/>
      <c r="R153" s="353"/>
      <c r="S153" s="353"/>
      <c r="T153" s="353"/>
      <c r="U153" s="353"/>
      <c r="V153" s="353"/>
      <c r="W153" s="353"/>
      <c r="X153" s="353"/>
      <c r="Y153" s="353"/>
      <c r="Z153" s="353"/>
      <c r="AA153" s="353"/>
      <c r="AB153" s="353"/>
      <c r="AC153" s="353"/>
      <c r="AD153" s="353"/>
      <c r="AE153" s="353"/>
      <c r="AF153" s="353"/>
      <c r="AG153" s="353"/>
      <c r="AH153" s="353"/>
      <c r="AI153" s="353"/>
      <c r="AJ153" s="353"/>
      <c r="AK153" s="353"/>
      <c r="AL153" s="353"/>
      <c r="AM153" s="353"/>
      <c r="AN153" s="353"/>
      <c r="AO153" s="353"/>
      <c r="AP153" s="353"/>
      <c r="AQ153" s="353"/>
      <c r="AR153" s="353"/>
      <c r="AS153" s="353"/>
      <c r="AT153" s="353"/>
      <c r="AU153" s="353"/>
      <c r="AV153" s="353"/>
      <c r="AW153" s="353"/>
      <c r="AX153" s="353"/>
      <c r="AY153" s="353"/>
      <c r="AZ153" s="353"/>
      <c r="BA153" s="353"/>
      <c r="BB153" s="353"/>
      <c r="BC153" s="353"/>
      <c r="BD153" s="353"/>
      <c r="BE153" s="353"/>
      <c r="BF153" s="353"/>
      <c r="BG153" s="353"/>
      <c r="BH153" s="353"/>
      <c r="BI153" s="353"/>
      <c r="BJ153" s="353"/>
      <c r="BK153" s="353"/>
      <c r="BL153" s="353"/>
      <c r="BM153" s="353"/>
      <c r="BN153" s="353"/>
      <c r="BO153" s="353"/>
      <c r="BP153" s="353"/>
      <c r="BQ153" s="353"/>
      <c r="BR153" s="353"/>
      <c r="BS153" s="353"/>
      <c r="BT153" s="353"/>
      <c r="BU153" s="353"/>
      <c r="BV153" s="353"/>
      <c r="BW153" s="353"/>
      <c r="BX153" s="353"/>
      <c r="BY153" s="353"/>
      <c r="BZ153" s="353"/>
      <c r="CA153" s="353"/>
      <c r="CB153" s="353"/>
      <c r="CC153" s="353"/>
      <c r="CD153" s="353"/>
      <c r="CE153" s="353"/>
      <c r="CF153" s="353"/>
      <c r="CG153" s="353"/>
      <c r="CH153" s="353"/>
      <c r="CI153" s="353"/>
      <c r="CJ153" s="353"/>
      <c r="CK153" s="353"/>
      <c r="CL153" s="353"/>
      <c r="CM153" s="353"/>
      <c r="CN153" s="353"/>
      <c r="CO153" s="353"/>
      <c r="CP153" s="353"/>
      <c r="CQ153" s="353"/>
      <c r="CR153" s="353"/>
      <c r="CS153" s="353"/>
      <c r="CT153" s="353"/>
      <c r="CU153" s="353"/>
      <c r="CV153" s="353"/>
      <c r="CW153" s="353"/>
      <c r="CX153" s="353"/>
      <c r="CY153" s="353"/>
      <c r="CZ153" s="353"/>
      <c r="DA153" s="353"/>
      <c r="DB153" s="353"/>
      <c r="DC153" s="353"/>
      <c r="DD153" s="353"/>
      <c r="DE153" s="353"/>
      <c r="DF153" s="353"/>
      <c r="DG153" s="353"/>
      <c r="DH153" s="353"/>
      <c r="DI153" s="353"/>
      <c r="DJ153" s="353"/>
      <c r="DK153" s="353"/>
      <c r="DL153" s="353"/>
      <c r="DM153" s="353"/>
      <c r="DN153" s="353"/>
      <c r="DO153" s="353"/>
      <c r="DP153" s="353"/>
      <c r="DQ153" s="353"/>
      <c r="DR153" s="353"/>
      <c r="DS153" s="353"/>
      <c r="DT153" s="353"/>
      <c r="DU153" s="353"/>
      <c r="DV153" s="353"/>
      <c r="DW153" s="353"/>
      <c r="DX153" s="353"/>
      <c r="DY153" s="353"/>
      <c r="DZ153" s="353"/>
      <c r="EA153" s="353"/>
      <c r="EB153" s="353"/>
      <c r="EC153" s="353"/>
    </row>
    <row r="154" spans="2:133" s="354" customFormat="1" ht="15.75">
      <c r="B154" s="355"/>
      <c r="C154" s="353"/>
      <c r="D154" s="353"/>
      <c r="E154" s="682"/>
      <c r="F154" s="353"/>
      <c r="G154" s="353"/>
      <c r="H154" s="353"/>
      <c r="I154" s="353"/>
      <c r="J154" s="353"/>
      <c r="K154" s="353"/>
      <c r="L154" s="353"/>
      <c r="M154" s="353"/>
      <c r="N154" s="353"/>
      <c r="O154" s="353"/>
      <c r="P154" s="353"/>
      <c r="Q154" s="353"/>
      <c r="R154" s="353"/>
      <c r="S154" s="353"/>
      <c r="T154" s="353"/>
      <c r="U154" s="353"/>
      <c r="V154" s="353"/>
      <c r="W154" s="353"/>
      <c r="X154" s="353"/>
      <c r="Y154" s="353"/>
      <c r="Z154" s="353"/>
      <c r="AA154" s="353"/>
      <c r="AB154" s="353"/>
      <c r="AC154" s="353"/>
      <c r="AD154" s="353"/>
      <c r="AE154" s="353"/>
      <c r="AF154" s="353"/>
      <c r="AG154" s="353"/>
      <c r="AH154" s="353"/>
      <c r="AI154" s="353"/>
      <c r="AJ154" s="353"/>
      <c r="AK154" s="353"/>
      <c r="AL154" s="353"/>
      <c r="AM154" s="353"/>
      <c r="AN154" s="353"/>
      <c r="AO154" s="353"/>
      <c r="AP154" s="353"/>
      <c r="AQ154" s="353"/>
      <c r="AR154" s="353"/>
      <c r="AS154" s="353"/>
      <c r="AT154" s="353"/>
      <c r="AU154" s="353"/>
      <c r="AV154" s="353"/>
      <c r="AW154" s="353"/>
      <c r="AX154" s="353"/>
      <c r="AY154" s="353"/>
      <c r="AZ154" s="353"/>
      <c r="BA154" s="353"/>
      <c r="BB154" s="353"/>
      <c r="BC154" s="353"/>
      <c r="BD154" s="353"/>
      <c r="BE154" s="353"/>
      <c r="BF154" s="353"/>
      <c r="BG154" s="353"/>
      <c r="BH154" s="353"/>
      <c r="BI154" s="353"/>
      <c r="BJ154" s="353"/>
      <c r="BK154" s="353"/>
      <c r="BL154" s="353"/>
      <c r="BM154" s="353"/>
      <c r="BN154" s="353"/>
      <c r="BO154" s="353"/>
      <c r="BP154" s="353"/>
      <c r="BQ154" s="353"/>
      <c r="BR154" s="353"/>
      <c r="BS154" s="353"/>
      <c r="BT154" s="353"/>
      <c r="BU154" s="353"/>
      <c r="BV154" s="353"/>
      <c r="BW154" s="353"/>
      <c r="BX154" s="353"/>
      <c r="BY154" s="353"/>
      <c r="BZ154" s="353"/>
      <c r="CA154" s="353"/>
      <c r="CB154" s="353"/>
      <c r="CC154" s="353"/>
      <c r="CD154" s="353"/>
      <c r="CE154" s="353"/>
      <c r="CF154" s="353"/>
      <c r="CG154" s="353"/>
      <c r="CH154" s="353"/>
      <c r="CI154" s="353"/>
      <c r="CJ154" s="353"/>
      <c r="CK154" s="353"/>
      <c r="CL154" s="353"/>
      <c r="CM154" s="353"/>
      <c r="CN154" s="353"/>
      <c r="CO154" s="353"/>
      <c r="CP154" s="353"/>
      <c r="CQ154" s="353"/>
      <c r="CR154" s="353"/>
      <c r="CS154" s="353"/>
      <c r="CT154" s="353"/>
      <c r="CU154" s="353"/>
      <c r="CV154" s="353"/>
      <c r="CW154" s="353"/>
      <c r="CX154" s="353"/>
      <c r="CY154" s="353"/>
      <c r="CZ154" s="353"/>
      <c r="DA154" s="353"/>
      <c r="DB154" s="353"/>
      <c r="DC154" s="353"/>
      <c r="DD154" s="353"/>
      <c r="DE154" s="353"/>
      <c r="DF154" s="353"/>
      <c r="DG154" s="353"/>
      <c r="DH154" s="353"/>
      <c r="DI154" s="353"/>
      <c r="DJ154" s="353"/>
      <c r="DK154" s="353"/>
      <c r="DL154" s="353"/>
      <c r="DM154" s="353"/>
      <c r="DN154" s="353"/>
      <c r="DO154" s="353"/>
      <c r="DP154" s="353"/>
      <c r="DQ154" s="353"/>
      <c r="DR154" s="353"/>
      <c r="DS154" s="353"/>
      <c r="DT154" s="353"/>
      <c r="DU154" s="353"/>
      <c r="DV154" s="353"/>
      <c r="DW154" s="353"/>
      <c r="DX154" s="353"/>
      <c r="DY154" s="353"/>
      <c r="DZ154" s="353"/>
      <c r="EA154" s="353"/>
      <c r="EB154" s="353"/>
      <c r="EC154" s="353"/>
    </row>
    <row r="155" spans="2:133" s="354" customFormat="1" ht="16.5" thickBot="1">
      <c r="B155" s="353"/>
      <c r="C155" s="353"/>
      <c r="D155" s="353"/>
      <c r="E155" s="353"/>
      <c r="F155" s="353"/>
      <c r="G155" s="353"/>
      <c r="H155" s="353"/>
      <c r="I155" s="353"/>
      <c r="J155" s="353"/>
      <c r="K155" s="353"/>
      <c r="L155" s="353"/>
      <c r="M155" s="353"/>
      <c r="N155" s="353"/>
      <c r="O155" s="353"/>
      <c r="P155" s="353"/>
      <c r="Q155" s="353"/>
      <c r="R155" s="353"/>
      <c r="S155" s="353"/>
      <c r="T155" s="353"/>
      <c r="U155" s="353"/>
      <c r="V155" s="353"/>
      <c r="W155" s="353"/>
      <c r="X155" s="353"/>
      <c r="Y155" s="353"/>
      <c r="Z155" s="353"/>
      <c r="AA155" s="353"/>
      <c r="AB155" s="353"/>
      <c r="AC155" s="353"/>
      <c r="AD155" s="353"/>
      <c r="AE155" s="353"/>
      <c r="AF155" s="353"/>
      <c r="AG155" s="353"/>
      <c r="AH155" s="353"/>
      <c r="AI155" s="353"/>
      <c r="AJ155" s="353"/>
      <c r="AK155" s="353"/>
      <c r="AL155" s="353"/>
      <c r="AM155" s="353"/>
      <c r="AN155" s="353"/>
      <c r="AO155" s="353"/>
      <c r="AP155" s="353"/>
      <c r="AQ155" s="353"/>
      <c r="AR155" s="353"/>
      <c r="AS155" s="353"/>
      <c r="AT155" s="353"/>
      <c r="AU155" s="353"/>
      <c r="AV155" s="353"/>
      <c r="AW155" s="353"/>
      <c r="AX155" s="353"/>
      <c r="AY155" s="353"/>
      <c r="AZ155" s="353"/>
      <c r="BA155" s="353"/>
      <c r="BB155" s="353"/>
      <c r="BC155" s="353"/>
      <c r="BD155" s="353"/>
      <c r="BE155" s="353"/>
      <c r="BF155" s="353"/>
      <c r="BG155" s="353"/>
      <c r="BH155" s="353"/>
      <c r="BI155" s="353"/>
      <c r="BJ155" s="353"/>
      <c r="BK155" s="353"/>
      <c r="BL155" s="353"/>
      <c r="BM155" s="353"/>
      <c r="BN155" s="353"/>
      <c r="BO155" s="353"/>
      <c r="BP155" s="353"/>
      <c r="BQ155" s="353"/>
      <c r="BR155" s="353"/>
      <c r="BS155" s="353"/>
      <c r="BT155" s="353"/>
      <c r="BU155" s="353"/>
      <c r="BV155" s="353"/>
      <c r="BW155" s="353"/>
      <c r="BX155" s="353"/>
      <c r="BY155" s="353"/>
      <c r="BZ155" s="353"/>
      <c r="CA155" s="353"/>
      <c r="CB155" s="353"/>
      <c r="CC155" s="353"/>
      <c r="CD155" s="353"/>
      <c r="CE155" s="353"/>
      <c r="CF155" s="353"/>
      <c r="CG155" s="353"/>
      <c r="CH155" s="353"/>
      <c r="CI155" s="353"/>
      <c r="CJ155" s="353"/>
      <c r="CK155" s="353"/>
      <c r="CL155" s="353"/>
      <c r="CM155" s="353"/>
      <c r="CN155" s="353"/>
      <c r="CO155" s="353"/>
      <c r="CP155" s="353"/>
      <c r="CQ155" s="353"/>
      <c r="CR155" s="353"/>
      <c r="CS155" s="353"/>
      <c r="CT155" s="353"/>
      <c r="CU155" s="353"/>
      <c r="CV155" s="353"/>
      <c r="CW155" s="353"/>
      <c r="CX155" s="353"/>
      <c r="CY155" s="353"/>
      <c r="CZ155" s="353"/>
      <c r="DA155" s="353"/>
      <c r="DB155" s="353"/>
      <c r="DC155" s="353"/>
      <c r="DD155" s="353"/>
      <c r="DE155" s="353"/>
      <c r="DF155" s="353"/>
      <c r="DG155" s="353"/>
      <c r="DH155" s="353"/>
      <c r="DI155" s="353"/>
      <c r="DJ155" s="353"/>
      <c r="DK155" s="353"/>
      <c r="DL155" s="353"/>
      <c r="DM155" s="353"/>
      <c r="DN155" s="353"/>
      <c r="DO155" s="353"/>
      <c r="DP155" s="353"/>
      <c r="DQ155" s="353"/>
      <c r="DR155" s="353"/>
      <c r="DS155" s="353"/>
      <c r="DT155" s="353"/>
      <c r="DU155" s="353"/>
      <c r="DV155" s="353"/>
      <c r="DW155" s="353"/>
      <c r="DX155" s="353"/>
      <c r="DY155" s="353"/>
      <c r="DZ155" s="353"/>
      <c r="EA155" s="353"/>
      <c r="EB155" s="353"/>
      <c r="EC155" s="353"/>
    </row>
    <row r="156" spans="1:133" s="377" customFormat="1" ht="15.75">
      <c r="A156" s="353"/>
      <c r="B156" s="355"/>
      <c r="C156" s="353"/>
      <c r="D156" s="353"/>
      <c r="E156" s="353"/>
      <c r="F156" s="353"/>
      <c r="G156" s="353"/>
      <c r="H156" s="353"/>
      <c r="I156" s="353"/>
      <c r="J156" s="353"/>
      <c r="K156" s="353"/>
      <c r="L156" s="353"/>
      <c r="M156" s="353"/>
      <c r="N156" s="353"/>
      <c r="O156" s="353"/>
      <c r="P156" s="353"/>
      <c r="Q156" s="353"/>
      <c r="R156" s="353"/>
      <c r="S156" s="353"/>
      <c r="T156" s="353"/>
      <c r="U156" s="353"/>
      <c r="V156" s="353"/>
      <c r="W156" s="353"/>
      <c r="X156" s="353"/>
      <c r="Y156" s="353"/>
      <c r="Z156" s="353"/>
      <c r="AA156" s="353"/>
      <c r="AB156" s="353"/>
      <c r="AC156" s="353"/>
      <c r="AD156" s="353"/>
      <c r="AE156" s="353"/>
      <c r="AF156" s="353"/>
      <c r="AG156" s="353"/>
      <c r="AH156" s="353"/>
      <c r="AI156" s="353"/>
      <c r="AJ156" s="353"/>
      <c r="AK156" s="353"/>
      <c r="AL156" s="353"/>
      <c r="AM156" s="353"/>
      <c r="AN156" s="353"/>
      <c r="AO156" s="353"/>
      <c r="AP156" s="353"/>
      <c r="AQ156" s="353"/>
      <c r="AR156" s="353"/>
      <c r="AS156" s="353"/>
      <c r="AT156" s="353"/>
      <c r="AU156" s="353"/>
      <c r="AV156" s="353"/>
      <c r="AW156" s="353"/>
      <c r="AX156" s="353"/>
      <c r="AY156" s="353"/>
      <c r="AZ156" s="353"/>
      <c r="BA156" s="353"/>
      <c r="BB156" s="353"/>
      <c r="BC156" s="353"/>
      <c r="BD156" s="353"/>
      <c r="BE156" s="353"/>
      <c r="BF156" s="353"/>
      <c r="BG156" s="353"/>
      <c r="BH156" s="353"/>
      <c r="BI156" s="353"/>
      <c r="BJ156" s="353"/>
      <c r="BK156" s="353"/>
      <c r="BL156" s="353"/>
      <c r="BM156" s="353"/>
      <c r="BN156" s="353"/>
      <c r="BO156" s="353"/>
      <c r="BP156" s="353"/>
      <c r="BQ156" s="353"/>
      <c r="BR156" s="353"/>
      <c r="BS156" s="353"/>
      <c r="BT156" s="353"/>
      <c r="BU156" s="353"/>
      <c r="BV156" s="353"/>
      <c r="BW156" s="353"/>
      <c r="BX156" s="353"/>
      <c r="BY156" s="353"/>
      <c r="BZ156" s="353"/>
      <c r="CA156" s="353"/>
      <c r="CB156" s="353"/>
      <c r="CC156" s="353"/>
      <c r="CD156" s="353"/>
      <c r="CE156" s="353"/>
      <c r="CF156" s="353"/>
      <c r="CG156" s="353"/>
      <c r="CH156" s="353"/>
      <c r="CI156" s="353"/>
      <c r="CJ156" s="353"/>
      <c r="CK156" s="353"/>
      <c r="CL156" s="353"/>
      <c r="CM156" s="353"/>
      <c r="CN156" s="353"/>
      <c r="CO156" s="353"/>
      <c r="CP156" s="353"/>
      <c r="CQ156" s="353"/>
      <c r="CR156" s="353"/>
      <c r="CS156" s="353"/>
      <c r="CT156" s="353"/>
      <c r="CU156" s="353"/>
      <c r="CV156" s="353"/>
      <c r="CW156" s="353"/>
      <c r="CX156" s="353"/>
      <c r="CY156" s="353"/>
      <c r="CZ156" s="353"/>
      <c r="DA156" s="353"/>
      <c r="DB156" s="353"/>
      <c r="DC156" s="353"/>
      <c r="DD156" s="353"/>
      <c r="DE156" s="353"/>
      <c r="DF156" s="353"/>
      <c r="DG156" s="353"/>
      <c r="DH156" s="353"/>
      <c r="DI156" s="353"/>
      <c r="DJ156" s="353"/>
      <c r="DK156" s="353"/>
      <c r="DL156" s="353"/>
      <c r="DM156" s="353"/>
      <c r="DN156" s="353"/>
      <c r="DO156" s="353"/>
      <c r="DP156" s="353"/>
      <c r="DQ156" s="353"/>
      <c r="DR156" s="353"/>
      <c r="DS156" s="353"/>
      <c r="DT156" s="353"/>
      <c r="DU156" s="353"/>
      <c r="DV156" s="353"/>
      <c r="DW156" s="353"/>
      <c r="DX156" s="353"/>
      <c r="DY156" s="353"/>
      <c r="DZ156" s="353"/>
      <c r="EA156" s="353"/>
      <c r="EB156" s="353"/>
      <c r="EC156" s="353"/>
    </row>
    <row r="157" s="353" customFormat="1" ht="15.75">
      <c r="C157" s="380"/>
    </row>
    <row r="158" s="353" customFormat="1" ht="15.75">
      <c r="C158" s="380"/>
    </row>
    <row r="159" s="353" customFormat="1" ht="15.75"/>
    <row r="160" s="353" customFormat="1" ht="15.75"/>
    <row r="161" s="353" customFormat="1" ht="15.75"/>
    <row r="162" s="353" customFormat="1" ht="15.75"/>
    <row r="163" s="353" customFormat="1" ht="15.75"/>
    <row r="164" s="353" customFormat="1" ht="15.75"/>
    <row r="165" s="353" customFormat="1" ht="15.75"/>
    <row r="166" s="353" customFormat="1" ht="15.75"/>
    <row r="167" s="353" customFormat="1" ht="15.75">
      <c r="C167" s="355"/>
    </row>
    <row r="168" spans="3:5" s="353" customFormat="1" ht="15.75">
      <c r="C168" s="353" t="s">
        <v>466</v>
      </c>
      <c r="E168" s="381"/>
    </row>
    <row r="169" spans="3:9" s="353" customFormat="1" ht="15.75">
      <c r="C169" s="353" t="s">
        <v>467</v>
      </c>
      <c r="I169" s="368"/>
    </row>
    <row r="170" s="353" customFormat="1" ht="15.75">
      <c r="I170" s="368"/>
    </row>
    <row r="171" spans="3:9" s="353" customFormat="1" ht="15.75">
      <c r="C171" s="353" t="s">
        <v>29</v>
      </c>
      <c r="I171" s="368"/>
    </row>
    <row r="172" spans="3:9" s="353" customFormat="1" ht="15.75">
      <c r="C172" s="353" t="s">
        <v>30</v>
      </c>
      <c r="I172" s="368"/>
    </row>
    <row r="173" s="353" customFormat="1" ht="15.75">
      <c r="I173" s="368"/>
    </row>
    <row r="174" s="353" customFormat="1" ht="15.75">
      <c r="I174" s="382"/>
    </row>
    <row r="175" spans="7:10" s="353" customFormat="1" ht="15.75">
      <c r="G175" s="355"/>
      <c r="H175" s="355"/>
      <c r="I175" s="383"/>
      <c r="J175" s="355"/>
    </row>
    <row r="176" s="353" customFormat="1" ht="15.75"/>
    <row r="177" s="353" customFormat="1" ht="15.75">
      <c r="E177" s="380"/>
    </row>
    <row r="178" s="353" customFormat="1" ht="15.75">
      <c r="I178" s="382"/>
    </row>
    <row r="179" s="353" customFormat="1" ht="15.75">
      <c r="I179" s="382"/>
    </row>
    <row r="180" s="353" customFormat="1" ht="15.75">
      <c r="I180" s="382"/>
    </row>
    <row r="181" s="353" customFormat="1" ht="15.75">
      <c r="I181" s="382"/>
    </row>
    <row r="182" s="353" customFormat="1" ht="15.75">
      <c r="I182" s="382"/>
    </row>
    <row r="183" s="353" customFormat="1" ht="15.75">
      <c r="I183" s="382"/>
    </row>
    <row r="184" spans="1:133" s="379" customFormat="1" ht="16.5" thickBot="1">
      <c r="A184" s="353"/>
      <c r="B184" s="353"/>
      <c r="C184" s="353"/>
      <c r="D184" s="353"/>
      <c r="E184" s="353"/>
      <c r="F184" s="353"/>
      <c r="G184" s="355"/>
      <c r="H184" s="355"/>
      <c r="I184" s="383"/>
      <c r="J184" s="355"/>
      <c r="K184" s="353"/>
      <c r="L184" s="353"/>
      <c r="M184" s="353"/>
      <c r="N184" s="353"/>
      <c r="O184" s="353"/>
      <c r="P184" s="353"/>
      <c r="Q184" s="353"/>
      <c r="R184" s="353"/>
      <c r="S184" s="353"/>
      <c r="T184" s="353"/>
      <c r="U184" s="353"/>
      <c r="V184" s="353"/>
      <c r="W184" s="353"/>
      <c r="X184" s="353"/>
      <c r="Y184" s="353"/>
      <c r="Z184" s="353"/>
      <c r="AA184" s="353"/>
      <c r="AB184" s="353"/>
      <c r="AC184" s="353"/>
      <c r="AD184" s="353"/>
      <c r="AE184" s="353"/>
      <c r="AF184" s="353"/>
      <c r="AG184" s="353"/>
      <c r="AH184" s="353"/>
      <c r="AI184" s="353"/>
      <c r="AJ184" s="353"/>
      <c r="AK184" s="353"/>
      <c r="AL184" s="353"/>
      <c r="AM184" s="353"/>
      <c r="AN184" s="353"/>
      <c r="AO184" s="353"/>
      <c r="AP184" s="353"/>
      <c r="AQ184" s="353"/>
      <c r="AR184" s="353"/>
      <c r="AS184" s="353"/>
      <c r="AT184" s="353"/>
      <c r="AU184" s="353"/>
      <c r="AV184" s="353"/>
      <c r="AW184" s="353"/>
      <c r="AX184" s="353"/>
      <c r="AY184" s="353"/>
      <c r="AZ184" s="353"/>
      <c r="BA184" s="353"/>
      <c r="BB184" s="353"/>
      <c r="BC184" s="353"/>
      <c r="BD184" s="353"/>
      <c r="BE184" s="353"/>
      <c r="BF184" s="353"/>
      <c r="BG184" s="353"/>
      <c r="BH184" s="353"/>
      <c r="BI184" s="353"/>
      <c r="BJ184" s="353"/>
      <c r="BK184" s="353"/>
      <c r="BL184" s="353"/>
      <c r="BM184" s="353"/>
      <c r="BN184" s="353"/>
      <c r="BO184" s="353"/>
      <c r="BP184" s="353"/>
      <c r="BQ184" s="353"/>
      <c r="BR184" s="353"/>
      <c r="BS184" s="353"/>
      <c r="BT184" s="353"/>
      <c r="BU184" s="353"/>
      <c r="BV184" s="353"/>
      <c r="BW184" s="353"/>
      <c r="BX184" s="353"/>
      <c r="BY184" s="353"/>
      <c r="BZ184" s="353"/>
      <c r="CA184" s="353"/>
      <c r="CB184" s="353"/>
      <c r="CC184" s="353"/>
      <c r="CD184" s="353"/>
      <c r="CE184" s="353"/>
      <c r="CF184" s="353"/>
      <c r="CG184" s="353"/>
      <c r="CH184" s="353"/>
      <c r="CI184" s="353"/>
      <c r="CJ184" s="353"/>
      <c r="CK184" s="353"/>
      <c r="CL184" s="353"/>
      <c r="CM184" s="353"/>
      <c r="CN184" s="353"/>
      <c r="CO184" s="353"/>
      <c r="CP184" s="353"/>
      <c r="CQ184" s="353"/>
      <c r="CR184" s="353"/>
      <c r="CS184" s="353"/>
      <c r="CT184" s="353"/>
      <c r="CU184" s="353"/>
      <c r="CV184" s="353"/>
      <c r="CW184" s="353"/>
      <c r="CX184" s="353"/>
      <c r="CY184" s="353"/>
      <c r="CZ184" s="353"/>
      <c r="DA184" s="353"/>
      <c r="DB184" s="353"/>
      <c r="DC184" s="353"/>
      <c r="DD184" s="353"/>
      <c r="DE184" s="353"/>
      <c r="DF184" s="353"/>
      <c r="DG184" s="353"/>
      <c r="DH184" s="353"/>
      <c r="DI184" s="353"/>
      <c r="DJ184" s="353"/>
      <c r="DK184" s="353"/>
      <c r="DL184" s="353"/>
      <c r="DM184" s="353"/>
      <c r="DN184" s="353"/>
      <c r="DO184" s="353"/>
      <c r="DP184" s="353"/>
      <c r="DQ184" s="353"/>
      <c r="DR184" s="353"/>
      <c r="DS184" s="353"/>
      <c r="DT184" s="353"/>
      <c r="DU184" s="353"/>
      <c r="DV184" s="353"/>
      <c r="DW184" s="353"/>
      <c r="DX184" s="353"/>
      <c r="DY184" s="353"/>
      <c r="DZ184" s="353"/>
      <c r="EA184" s="353"/>
      <c r="EB184" s="353"/>
      <c r="EC184" s="353"/>
    </row>
    <row r="185" spans="2:133" s="354" customFormat="1" ht="15.75">
      <c r="B185" s="353"/>
      <c r="C185" s="353"/>
      <c r="D185" s="353"/>
      <c r="E185" s="353"/>
      <c r="F185" s="353"/>
      <c r="G185" s="353"/>
      <c r="H185" s="353"/>
      <c r="I185" s="353"/>
      <c r="J185" s="353"/>
      <c r="K185" s="353"/>
      <c r="L185" s="353"/>
      <c r="M185" s="353"/>
      <c r="N185" s="353"/>
      <c r="O185" s="353"/>
      <c r="P185" s="353"/>
      <c r="Q185" s="353"/>
      <c r="R185" s="353"/>
      <c r="S185" s="353"/>
      <c r="T185" s="353"/>
      <c r="U185" s="353"/>
      <c r="V185" s="353"/>
      <c r="W185" s="353"/>
      <c r="X185" s="353"/>
      <c r="Y185" s="353"/>
      <c r="Z185" s="353"/>
      <c r="AA185" s="353"/>
      <c r="AB185" s="353"/>
      <c r="AC185" s="353"/>
      <c r="AD185" s="353"/>
      <c r="AE185" s="353"/>
      <c r="AF185" s="353"/>
      <c r="AG185" s="353"/>
      <c r="AH185" s="353"/>
      <c r="AI185" s="353"/>
      <c r="AJ185" s="353"/>
      <c r="AK185" s="353"/>
      <c r="AL185" s="353"/>
      <c r="AM185" s="353"/>
      <c r="AN185" s="353"/>
      <c r="AO185" s="353"/>
      <c r="AP185" s="353"/>
      <c r="AQ185" s="353"/>
      <c r="AR185" s="353"/>
      <c r="AS185" s="353"/>
      <c r="AT185" s="353"/>
      <c r="AU185" s="353"/>
      <c r="AV185" s="353"/>
      <c r="AW185" s="353"/>
      <c r="AX185" s="353"/>
      <c r="AY185" s="353"/>
      <c r="AZ185" s="353"/>
      <c r="BA185" s="353"/>
      <c r="BB185" s="353"/>
      <c r="BC185" s="353"/>
      <c r="BD185" s="353"/>
      <c r="BE185" s="353"/>
      <c r="BF185" s="353"/>
      <c r="BG185" s="353"/>
      <c r="BH185" s="353"/>
      <c r="BI185" s="353"/>
      <c r="BJ185" s="353"/>
      <c r="BK185" s="353"/>
      <c r="BL185" s="353"/>
      <c r="BM185" s="353"/>
      <c r="BN185" s="353"/>
      <c r="BO185" s="353"/>
      <c r="BP185" s="353"/>
      <c r="BQ185" s="353"/>
      <c r="BR185" s="353"/>
      <c r="BS185" s="353"/>
      <c r="BT185" s="353"/>
      <c r="BU185" s="353"/>
      <c r="BV185" s="353"/>
      <c r="BW185" s="353"/>
      <c r="BX185" s="353"/>
      <c r="BY185" s="353"/>
      <c r="BZ185" s="353"/>
      <c r="CA185" s="353"/>
      <c r="CB185" s="353"/>
      <c r="CC185" s="353"/>
      <c r="CD185" s="353"/>
      <c r="CE185" s="353"/>
      <c r="CF185" s="353"/>
      <c r="CG185" s="353"/>
      <c r="CH185" s="353"/>
      <c r="CI185" s="353"/>
      <c r="CJ185" s="353"/>
      <c r="CK185" s="353"/>
      <c r="CL185" s="353"/>
      <c r="CM185" s="353"/>
      <c r="CN185" s="353"/>
      <c r="CO185" s="353"/>
      <c r="CP185" s="353"/>
      <c r="CQ185" s="353"/>
      <c r="CR185" s="353"/>
      <c r="CS185" s="353"/>
      <c r="CT185" s="353"/>
      <c r="CU185" s="353"/>
      <c r="CV185" s="353"/>
      <c r="CW185" s="353"/>
      <c r="CX185" s="353"/>
      <c r="CY185" s="353"/>
      <c r="CZ185" s="353"/>
      <c r="DA185" s="353"/>
      <c r="DB185" s="353"/>
      <c r="DC185" s="353"/>
      <c r="DD185" s="353"/>
      <c r="DE185" s="353"/>
      <c r="DF185" s="353"/>
      <c r="DG185" s="353"/>
      <c r="DH185" s="353"/>
      <c r="DI185" s="353"/>
      <c r="DJ185" s="353"/>
      <c r="DK185" s="353"/>
      <c r="DL185" s="353"/>
      <c r="DM185" s="353"/>
      <c r="DN185" s="353"/>
      <c r="DO185" s="353"/>
      <c r="DP185" s="353"/>
      <c r="DQ185" s="353"/>
      <c r="DR185" s="353"/>
      <c r="DS185" s="353"/>
      <c r="DT185" s="353"/>
      <c r="DU185" s="353"/>
      <c r="DV185" s="353"/>
      <c r="DW185" s="353"/>
      <c r="DX185" s="353"/>
      <c r="DY185" s="353"/>
      <c r="DZ185" s="353"/>
      <c r="EA185" s="353"/>
      <c r="EB185" s="353"/>
      <c r="EC185" s="353"/>
    </row>
    <row r="186" spans="2:133" s="354" customFormat="1" ht="15.75">
      <c r="B186" s="353"/>
      <c r="C186" s="355"/>
      <c r="D186" s="353"/>
      <c r="E186" s="353"/>
      <c r="F186" s="353"/>
      <c r="G186" s="353"/>
      <c r="H186" s="353"/>
      <c r="I186" s="353"/>
      <c r="J186" s="353"/>
      <c r="K186" s="353"/>
      <c r="L186" s="353"/>
      <c r="M186" s="353"/>
      <c r="N186" s="353"/>
      <c r="O186" s="353"/>
      <c r="P186" s="353"/>
      <c r="Q186" s="353"/>
      <c r="R186" s="353"/>
      <c r="S186" s="353"/>
      <c r="T186" s="353"/>
      <c r="U186" s="353"/>
      <c r="V186" s="353"/>
      <c r="W186" s="353"/>
      <c r="X186" s="353"/>
      <c r="Y186" s="353"/>
      <c r="Z186" s="353"/>
      <c r="AA186" s="353"/>
      <c r="AB186" s="353"/>
      <c r="AC186" s="353"/>
      <c r="AD186" s="353"/>
      <c r="AE186" s="353"/>
      <c r="AF186" s="353"/>
      <c r="AG186" s="353"/>
      <c r="AH186" s="353"/>
      <c r="AI186" s="353"/>
      <c r="AJ186" s="353"/>
      <c r="AK186" s="353"/>
      <c r="AL186" s="353"/>
      <c r="AM186" s="353"/>
      <c r="AN186" s="353"/>
      <c r="AO186" s="353"/>
      <c r="AP186" s="353"/>
      <c r="AQ186" s="353"/>
      <c r="AR186" s="353"/>
      <c r="AS186" s="353"/>
      <c r="AT186" s="353"/>
      <c r="AU186" s="353"/>
      <c r="AV186" s="353"/>
      <c r="AW186" s="353"/>
      <c r="AX186" s="353"/>
      <c r="AY186" s="353"/>
      <c r="AZ186" s="353"/>
      <c r="BA186" s="353"/>
      <c r="BB186" s="353"/>
      <c r="BC186" s="353"/>
      <c r="BD186" s="353"/>
      <c r="BE186" s="353"/>
      <c r="BF186" s="353"/>
      <c r="BG186" s="353"/>
      <c r="BH186" s="353"/>
      <c r="BI186" s="353"/>
      <c r="BJ186" s="353"/>
      <c r="BK186" s="353"/>
      <c r="BL186" s="353"/>
      <c r="BM186" s="353"/>
      <c r="BN186" s="353"/>
      <c r="BO186" s="353"/>
      <c r="BP186" s="353"/>
      <c r="BQ186" s="353"/>
      <c r="BR186" s="353"/>
      <c r="BS186" s="353"/>
      <c r="BT186" s="353"/>
      <c r="BU186" s="353"/>
      <c r="BV186" s="353"/>
      <c r="BW186" s="353"/>
      <c r="BX186" s="353"/>
      <c r="BY186" s="353"/>
      <c r="BZ186" s="353"/>
      <c r="CA186" s="353"/>
      <c r="CB186" s="353"/>
      <c r="CC186" s="353"/>
      <c r="CD186" s="353"/>
      <c r="CE186" s="353"/>
      <c r="CF186" s="353"/>
      <c r="CG186" s="353"/>
      <c r="CH186" s="353"/>
      <c r="CI186" s="353"/>
      <c r="CJ186" s="353"/>
      <c r="CK186" s="353"/>
      <c r="CL186" s="353"/>
      <c r="CM186" s="353"/>
      <c r="CN186" s="353"/>
      <c r="CO186" s="353"/>
      <c r="CP186" s="353"/>
      <c r="CQ186" s="353"/>
      <c r="CR186" s="353"/>
      <c r="CS186" s="353"/>
      <c r="CT186" s="353"/>
      <c r="CU186" s="353"/>
      <c r="CV186" s="353"/>
      <c r="CW186" s="353"/>
      <c r="CX186" s="353"/>
      <c r="CY186" s="353"/>
      <c r="CZ186" s="353"/>
      <c r="DA186" s="353"/>
      <c r="DB186" s="353"/>
      <c r="DC186" s="353"/>
      <c r="DD186" s="353"/>
      <c r="DE186" s="353"/>
      <c r="DF186" s="353"/>
      <c r="DG186" s="353"/>
      <c r="DH186" s="353"/>
      <c r="DI186" s="353"/>
      <c r="DJ186" s="353"/>
      <c r="DK186" s="353"/>
      <c r="DL186" s="353"/>
      <c r="DM186" s="353"/>
      <c r="DN186" s="353"/>
      <c r="DO186" s="353"/>
      <c r="DP186" s="353"/>
      <c r="DQ186" s="353"/>
      <c r="DR186" s="353"/>
      <c r="DS186" s="353"/>
      <c r="DT186" s="353"/>
      <c r="DU186" s="353"/>
      <c r="DV186" s="353"/>
      <c r="DW186" s="353"/>
      <c r="DX186" s="353"/>
      <c r="DY186" s="353"/>
      <c r="DZ186" s="353"/>
      <c r="EA186" s="353"/>
      <c r="EB186" s="353"/>
      <c r="EC186" s="353"/>
    </row>
    <row r="187" spans="2:133" s="354" customFormat="1" ht="15.75">
      <c r="B187" s="353"/>
      <c r="C187" s="353"/>
      <c r="D187" s="353"/>
      <c r="E187" s="381"/>
      <c r="F187" s="353"/>
      <c r="G187" s="353"/>
      <c r="H187" s="353"/>
      <c r="I187" s="353"/>
      <c r="J187" s="353"/>
      <c r="K187" s="353"/>
      <c r="L187" s="353"/>
      <c r="M187" s="353"/>
      <c r="N187" s="353"/>
      <c r="O187" s="353"/>
      <c r="P187" s="353"/>
      <c r="Q187" s="353"/>
      <c r="R187" s="353"/>
      <c r="S187" s="353"/>
      <c r="T187" s="353"/>
      <c r="U187" s="353"/>
      <c r="V187" s="353"/>
      <c r="W187" s="353"/>
      <c r="X187" s="353"/>
      <c r="Y187" s="353"/>
      <c r="Z187" s="353"/>
      <c r="AA187" s="353"/>
      <c r="AB187" s="353"/>
      <c r="AC187" s="353"/>
      <c r="AD187" s="353"/>
      <c r="AE187" s="353"/>
      <c r="AF187" s="353"/>
      <c r="AG187" s="353"/>
      <c r="AH187" s="353"/>
      <c r="AI187" s="353"/>
      <c r="AJ187" s="353"/>
      <c r="AK187" s="353"/>
      <c r="AL187" s="353"/>
      <c r="AM187" s="353"/>
      <c r="AN187" s="353"/>
      <c r="AO187" s="353"/>
      <c r="AP187" s="353"/>
      <c r="AQ187" s="353"/>
      <c r="AR187" s="353"/>
      <c r="AS187" s="353"/>
      <c r="AT187" s="353"/>
      <c r="AU187" s="353"/>
      <c r="AV187" s="353"/>
      <c r="AW187" s="353"/>
      <c r="AX187" s="353"/>
      <c r="AY187" s="353"/>
      <c r="AZ187" s="353"/>
      <c r="BA187" s="353"/>
      <c r="BB187" s="353"/>
      <c r="BC187" s="353"/>
      <c r="BD187" s="353"/>
      <c r="BE187" s="353"/>
      <c r="BF187" s="353"/>
      <c r="BG187" s="353"/>
      <c r="BH187" s="353"/>
      <c r="BI187" s="353"/>
      <c r="BJ187" s="353"/>
      <c r="BK187" s="353"/>
      <c r="BL187" s="353"/>
      <c r="BM187" s="353"/>
      <c r="BN187" s="353"/>
      <c r="BO187" s="353"/>
      <c r="BP187" s="353"/>
      <c r="BQ187" s="353"/>
      <c r="BR187" s="353"/>
      <c r="BS187" s="353"/>
      <c r="BT187" s="353"/>
      <c r="BU187" s="353"/>
      <c r="BV187" s="353"/>
      <c r="BW187" s="353"/>
      <c r="BX187" s="353"/>
      <c r="BY187" s="353"/>
      <c r="BZ187" s="353"/>
      <c r="CA187" s="353"/>
      <c r="CB187" s="353"/>
      <c r="CC187" s="353"/>
      <c r="CD187" s="353"/>
      <c r="CE187" s="353"/>
      <c r="CF187" s="353"/>
      <c r="CG187" s="353"/>
      <c r="CH187" s="353"/>
      <c r="CI187" s="353"/>
      <c r="CJ187" s="353"/>
      <c r="CK187" s="353"/>
      <c r="CL187" s="353"/>
      <c r="CM187" s="353"/>
      <c r="CN187" s="353"/>
      <c r="CO187" s="353"/>
      <c r="CP187" s="353"/>
      <c r="CQ187" s="353"/>
      <c r="CR187" s="353"/>
      <c r="CS187" s="353"/>
      <c r="CT187" s="353"/>
      <c r="CU187" s="353"/>
      <c r="CV187" s="353"/>
      <c r="CW187" s="353"/>
      <c r="CX187" s="353"/>
      <c r="CY187" s="353"/>
      <c r="CZ187" s="353"/>
      <c r="DA187" s="353"/>
      <c r="DB187" s="353"/>
      <c r="DC187" s="353"/>
      <c r="DD187" s="353"/>
      <c r="DE187" s="353"/>
      <c r="DF187" s="353"/>
      <c r="DG187" s="353"/>
      <c r="DH187" s="353"/>
      <c r="DI187" s="353"/>
      <c r="DJ187" s="353"/>
      <c r="DK187" s="353"/>
      <c r="DL187" s="353"/>
      <c r="DM187" s="353"/>
      <c r="DN187" s="353"/>
      <c r="DO187" s="353"/>
      <c r="DP187" s="353"/>
      <c r="DQ187" s="353"/>
      <c r="DR187" s="353"/>
      <c r="DS187" s="353"/>
      <c r="DT187" s="353"/>
      <c r="DU187" s="353"/>
      <c r="DV187" s="353"/>
      <c r="DW187" s="353"/>
      <c r="DX187" s="353"/>
      <c r="DY187" s="353"/>
      <c r="DZ187" s="353"/>
      <c r="EA187" s="353"/>
      <c r="EB187" s="353"/>
      <c r="EC187" s="353"/>
    </row>
    <row r="188" spans="2:21" s="387" customFormat="1" ht="15.75">
      <c r="B188" s="384"/>
      <c r="C188" s="385"/>
      <c r="D188" s="385"/>
      <c r="E188" s="385"/>
      <c r="F188" s="385"/>
      <c r="G188" s="385"/>
      <c r="H188" s="385"/>
      <c r="I188" s="386"/>
      <c r="J188" s="353"/>
      <c r="K188" s="385"/>
      <c r="L188" s="385"/>
      <c r="M188" s="385"/>
      <c r="N188" s="385"/>
      <c r="O188" s="385"/>
      <c r="P188" s="385"/>
      <c r="Q188" s="385"/>
      <c r="R188" s="385"/>
      <c r="S188" s="385"/>
      <c r="T188" s="385"/>
      <c r="U188" s="385"/>
    </row>
    <row r="189" spans="2:21" s="387" customFormat="1" ht="15.75">
      <c r="B189" s="384"/>
      <c r="C189" s="385"/>
      <c r="D189" s="385"/>
      <c r="E189" s="385"/>
      <c r="F189" s="385"/>
      <c r="G189" s="385"/>
      <c r="H189" s="385"/>
      <c r="I189" s="386"/>
      <c r="J189" s="353"/>
      <c r="K189" s="385"/>
      <c r="L189" s="385"/>
      <c r="M189" s="385"/>
      <c r="N189" s="385"/>
      <c r="O189" s="385"/>
      <c r="P189" s="385"/>
      <c r="Q189" s="385"/>
      <c r="R189" s="385"/>
      <c r="S189" s="385"/>
      <c r="T189" s="385"/>
      <c r="U189" s="385"/>
    </row>
    <row r="190" spans="2:21" s="387" customFormat="1" ht="15.75">
      <c r="B190" s="384"/>
      <c r="C190" s="385"/>
      <c r="D190" s="385"/>
      <c r="E190" s="385"/>
      <c r="F190" s="385"/>
      <c r="G190" s="385"/>
      <c r="H190" s="385"/>
      <c r="I190" s="386"/>
      <c r="J190" s="353"/>
      <c r="K190" s="385"/>
      <c r="L190" s="385"/>
      <c r="M190" s="385"/>
      <c r="N190" s="385"/>
      <c r="O190" s="385"/>
      <c r="P190" s="385"/>
      <c r="Q190" s="385"/>
      <c r="R190" s="385"/>
      <c r="S190" s="385"/>
      <c r="T190" s="385"/>
      <c r="U190" s="385"/>
    </row>
    <row r="191" spans="2:21" s="387" customFormat="1" ht="15.75">
      <c r="B191" s="384"/>
      <c r="C191" s="385"/>
      <c r="D191" s="385"/>
      <c r="E191" s="385"/>
      <c r="F191" s="385"/>
      <c r="G191" s="385"/>
      <c r="H191" s="385"/>
      <c r="I191" s="386"/>
      <c r="J191" s="353"/>
      <c r="K191" s="385"/>
      <c r="L191" s="385"/>
      <c r="M191" s="385"/>
      <c r="N191" s="385"/>
      <c r="O191" s="385"/>
      <c r="P191" s="385"/>
      <c r="Q191" s="385"/>
      <c r="R191" s="385"/>
      <c r="S191" s="385"/>
      <c r="T191" s="385"/>
      <c r="U191" s="385"/>
    </row>
    <row r="192" spans="2:21" s="387" customFormat="1" ht="15.75">
      <c r="B192" s="384"/>
      <c r="C192" s="385"/>
      <c r="D192" s="385"/>
      <c r="E192" s="385"/>
      <c r="F192" s="385"/>
      <c r="G192" s="385"/>
      <c r="H192" s="385"/>
      <c r="I192" s="386"/>
      <c r="J192" s="353"/>
      <c r="K192" s="385"/>
      <c r="L192" s="385"/>
      <c r="M192" s="385"/>
      <c r="N192" s="385"/>
      <c r="O192" s="385"/>
      <c r="P192" s="385"/>
      <c r="Q192" s="385"/>
      <c r="R192" s="385"/>
      <c r="S192" s="385"/>
      <c r="T192" s="385"/>
      <c r="U192" s="385"/>
    </row>
    <row r="193" spans="2:21" s="387" customFormat="1" ht="15.75">
      <c r="B193" s="384"/>
      <c r="C193" s="385"/>
      <c r="D193" s="385"/>
      <c r="E193" s="385"/>
      <c r="F193" s="385"/>
      <c r="G193" s="385"/>
      <c r="H193" s="385"/>
      <c r="I193" s="388"/>
      <c r="J193" s="353"/>
      <c r="K193" s="385"/>
      <c r="L193" s="385"/>
      <c r="M193" s="385"/>
      <c r="N193" s="385"/>
      <c r="O193" s="385"/>
      <c r="P193" s="385"/>
      <c r="Q193" s="385"/>
      <c r="R193" s="385"/>
      <c r="S193" s="385"/>
      <c r="T193" s="385"/>
      <c r="U193" s="385"/>
    </row>
    <row r="194" spans="2:21" s="387" customFormat="1" ht="15.75">
      <c r="B194" s="384"/>
      <c r="C194" s="385"/>
      <c r="D194" s="385"/>
      <c r="E194" s="385"/>
      <c r="F194" s="385"/>
      <c r="G194" s="389"/>
      <c r="H194" s="389"/>
      <c r="I194" s="390"/>
      <c r="J194" s="355"/>
      <c r="K194" s="385"/>
      <c r="L194" s="385"/>
      <c r="M194" s="385"/>
      <c r="N194" s="385"/>
      <c r="O194" s="385"/>
      <c r="P194" s="385"/>
      <c r="Q194" s="385"/>
      <c r="R194" s="385"/>
      <c r="S194" s="385"/>
      <c r="T194" s="385"/>
      <c r="U194" s="385"/>
    </row>
    <row r="195" spans="2:21" s="387" customFormat="1" ht="15.75">
      <c r="B195" s="384"/>
      <c r="C195" s="385"/>
      <c r="D195" s="385"/>
      <c r="E195" s="385"/>
      <c r="F195" s="385"/>
      <c r="G195" s="385"/>
      <c r="H195" s="385"/>
      <c r="I195" s="385"/>
      <c r="J195" s="353"/>
      <c r="K195" s="385"/>
      <c r="L195" s="385"/>
      <c r="M195" s="385"/>
      <c r="N195" s="385"/>
      <c r="O195" s="385"/>
      <c r="P195" s="385"/>
      <c r="Q195" s="385"/>
      <c r="R195" s="385"/>
      <c r="S195" s="385"/>
      <c r="T195" s="385"/>
      <c r="U195" s="385"/>
    </row>
    <row r="196" spans="2:21" s="387" customFormat="1" ht="15.75">
      <c r="B196" s="384"/>
      <c r="C196" s="385"/>
      <c r="D196" s="385"/>
      <c r="E196" s="391"/>
      <c r="F196" s="391"/>
      <c r="G196" s="385"/>
      <c r="H196" s="385"/>
      <c r="I196" s="385"/>
      <c r="J196" s="353"/>
      <c r="K196" s="385"/>
      <c r="L196" s="385"/>
      <c r="M196" s="385"/>
      <c r="N196" s="385"/>
      <c r="O196" s="385"/>
      <c r="P196" s="385"/>
      <c r="Q196" s="385"/>
      <c r="R196" s="385"/>
      <c r="S196" s="385"/>
      <c r="T196" s="385"/>
      <c r="U196" s="385"/>
    </row>
    <row r="197" spans="2:21" s="387" customFormat="1" ht="15.75">
      <c r="B197" s="384"/>
      <c r="C197" s="385"/>
      <c r="D197" s="385"/>
      <c r="E197" s="385"/>
      <c r="F197" s="385"/>
      <c r="G197" s="385"/>
      <c r="H197" s="385"/>
      <c r="I197" s="388"/>
      <c r="J197" s="353"/>
      <c r="K197" s="385"/>
      <c r="L197" s="385"/>
      <c r="M197" s="385"/>
      <c r="N197" s="385"/>
      <c r="O197" s="385"/>
      <c r="P197" s="385"/>
      <c r="Q197" s="385"/>
      <c r="R197" s="385"/>
      <c r="S197" s="385"/>
      <c r="T197" s="385"/>
      <c r="U197" s="385"/>
    </row>
    <row r="198" spans="2:21" s="387" customFormat="1" ht="15.75">
      <c r="B198" s="384"/>
      <c r="C198" s="385"/>
      <c r="D198" s="385"/>
      <c r="E198" s="385"/>
      <c r="F198" s="385"/>
      <c r="G198" s="385"/>
      <c r="H198" s="385"/>
      <c r="I198" s="388"/>
      <c r="J198" s="353"/>
      <c r="K198" s="385"/>
      <c r="L198" s="385"/>
      <c r="M198" s="385"/>
      <c r="N198" s="385"/>
      <c r="O198" s="385"/>
      <c r="P198" s="385"/>
      <c r="Q198" s="385"/>
      <c r="R198" s="385"/>
      <c r="S198" s="385"/>
      <c r="T198" s="385"/>
      <c r="U198" s="385"/>
    </row>
    <row r="199" spans="2:21" s="387" customFormat="1" ht="15.75">
      <c r="B199" s="384"/>
      <c r="C199" s="385"/>
      <c r="D199" s="385"/>
      <c r="E199" s="385"/>
      <c r="F199" s="385"/>
      <c r="G199" s="385"/>
      <c r="H199" s="385"/>
      <c r="I199" s="388"/>
      <c r="J199" s="353"/>
      <c r="K199" s="385"/>
      <c r="L199" s="385"/>
      <c r="M199" s="385"/>
      <c r="N199" s="385"/>
      <c r="O199" s="385"/>
      <c r="P199" s="385"/>
      <c r="Q199" s="385"/>
      <c r="R199" s="385"/>
      <c r="S199" s="385"/>
      <c r="T199" s="385"/>
      <c r="U199" s="385"/>
    </row>
    <row r="200" spans="2:21" s="387" customFormat="1" ht="15.75">
      <c r="B200" s="384"/>
      <c r="C200" s="385"/>
      <c r="D200" s="385"/>
      <c r="E200" s="385"/>
      <c r="F200" s="385"/>
      <c r="G200" s="385"/>
      <c r="H200" s="385"/>
      <c r="I200" s="388"/>
      <c r="J200" s="353"/>
      <c r="K200" s="385"/>
      <c r="L200" s="385"/>
      <c r="M200" s="385"/>
      <c r="N200" s="385"/>
      <c r="O200" s="385"/>
      <c r="P200" s="385"/>
      <c r="Q200" s="385"/>
      <c r="R200" s="385"/>
      <c r="S200" s="385"/>
      <c r="T200" s="385"/>
      <c r="U200" s="385"/>
    </row>
    <row r="201" spans="2:21" s="387" customFormat="1" ht="15.75">
      <c r="B201" s="384"/>
      <c r="C201" s="385"/>
      <c r="D201" s="385"/>
      <c r="E201" s="385"/>
      <c r="F201" s="385"/>
      <c r="G201" s="385"/>
      <c r="H201" s="385"/>
      <c r="I201" s="388"/>
      <c r="J201" s="353"/>
      <c r="K201" s="385"/>
      <c r="L201" s="385"/>
      <c r="M201" s="385"/>
      <c r="N201" s="385"/>
      <c r="O201" s="385"/>
      <c r="P201" s="385"/>
      <c r="Q201" s="385"/>
      <c r="R201" s="385"/>
      <c r="S201" s="385"/>
      <c r="T201" s="385"/>
      <c r="U201" s="385"/>
    </row>
    <row r="202" spans="2:21" s="387" customFormat="1" ht="15.75">
      <c r="B202" s="384"/>
      <c r="C202" s="385"/>
      <c r="D202" s="385"/>
      <c r="E202" s="385"/>
      <c r="F202" s="385"/>
      <c r="G202" s="385"/>
      <c r="H202" s="385"/>
      <c r="I202" s="388"/>
      <c r="J202" s="353"/>
      <c r="K202" s="385"/>
      <c r="L202" s="385"/>
      <c r="M202" s="385"/>
      <c r="N202" s="385"/>
      <c r="O202" s="385"/>
      <c r="P202" s="385"/>
      <c r="Q202" s="385"/>
      <c r="R202" s="385"/>
      <c r="S202" s="385"/>
      <c r="T202" s="385"/>
      <c r="U202" s="385"/>
    </row>
    <row r="203" spans="2:21" s="387" customFormat="1" ht="15.75">
      <c r="B203" s="353"/>
      <c r="C203" s="353"/>
      <c r="D203" s="353"/>
      <c r="E203" s="353"/>
      <c r="F203" s="353"/>
      <c r="G203" s="355"/>
      <c r="H203" s="355"/>
      <c r="I203" s="383"/>
      <c r="J203" s="355"/>
      <c r="K203" s="385"/>
      <c r="L203" s="385"/>
      <c r="M203" s="385"/>
      <c r="N203" s="385"/>
      <c r="O203" s="385"/>
      <c r="P203" s="385"/>
      <c r="Q203" s="385"/>
      <c r="R203" s="385"/>
      <c r="S203" s="385"/>
      <c r="T203" s="385"/>
      <c r="U203" s="385"/>
    </row>
    <row r="204" spans="2:21" s="387" customFormat="1" ht="15.75">
      <c r="B204" s="353"/>
      <c r="C204" s="353"/>
      <c r="D204" s="353"/>
      <c r="E204" s="353"/>
      <c r="F204" s="353"/>
      <c r="G204" s="353"/>
      <c r="H204" s="353"/>
      <c r="I204" s="353"/>
      <c r="J204" s="353"/>
      <c r="K204" s="385"/>
      <c r="L204" s="385"/>
      <c r="M204" s="385"/>
      <c r="N204" s="385"/>
      <c r="O204" s="385"/>
      <c r="P204" s="385"/>
      <c r="Q204" s="385"/>
      <c r="R204" s="385"/>
      <c r="S204" s="385"/>
      <c r="T204" s="385"/>
      <c r="U204" s="385"/>
    </row>
    <row r="205" spans="2:21" s="387" customFormat="1" ht="16.5" thickBot="1">
      <c r="B205" s="392"/>
      <c r="C205" s="360"/>
      <c r="D205" s="360"/>
      <c r="E205" s="360"/>
      <c r="F205" s="360"/>
      <c r="G205" s="353"/>
      <c r="H205" s="353"/>
      <c r="I205" s="353"/>
      <c r="J205" s="353"/>
      <c r="K205" s="385"/>
      <c r="L205" s="385"/>
      <c r="M205" s="385"/>
      <c r="N205" s="385"/>
      <c r="O205" s="385"/>
      <c r="P205" s="385"/>
      <c r="Q205" s="385"/>
      <c r="R205" s="385"/>
      <c r="S205" s="385"/>
      <c r="T205" s="385"/>
      <c r="U205" s="385"/>
    </row>
    <row r="206" spans="2:21" s="387" customFormat="1" ht="15.75">
      <c r="B206" s="353"/>
      <c r="C206" s="353"/>
      <c r="D206" s="393"/>
      <c r="E206" s="394"/>
      <c r="F206" s="353"/>
      <c r="G206" s="353"/>
      <c r="H206" s="353"/>
      <c r="I206" s="353"/>
      <c r="J206" s="353"/>
      <c r="K206" s="385"/>
      <c r="L206" s="385"/>
      <c r="M206" s="385"/>
      <c r="N206" s="385"/>
      <c r="O206" s="385"/>
      <c r="P206" s="385"/>
      <c r="Q206" s="385"/>
      <c r="R206" s="385"/>
      <c r="S206" s="385"/>
      <c r="T206" s="385"/>
      <c r="U206" s="385"/>
    </row>
    <row r="207" spans="2:21" s="387" customFormat="1" ht="16.5" thickBot="1">
      <c r="B207" s="353"/>
      <c r="C207" s="353"/>
      <c r="D207" s="395"/>
      <c r="E207" s="396"/>
      <c r="F207" s="353"/>
      <c r="G207" s="353"/>
      <c r="H207" s="353"/>
      <c r="I207" s="353"/>
      <c r="J207" s="353"/>
      <c r="K207" s="385"/>
      <c r="L207" s="385"/>
      <c r="M207" s="385"/>
      <c r="N207" s="385"/>
      <c r="O207" s="385"/>
      <c r="P207" s="385"/>
      <c r="Q207" s="385"/>
      <c r="R207" s="385"/>
      <c r="S207" s="385"/>
      <c r="T207" s="385"/>
      <c r="U207" s="385"/>
    </row>
    <row r="208" spans="2:21" s="387" customFormat="1" ht="15.75">
      <c r="B208" s="353"/>
      <c r="C208" s="353"/>
      <c r="D208" s="353"/>
      <c r="E208" s="353"/>
      <c r="F208" s="353"/>
      <c r="G208" s="353"/>
      <c r="H208" s="353"/>
      <c r="I208" s="353"/>
      <c r="J208" s="353"/>
      <c r="K208" s="385"/>
      <c r="L208" s="385"/>
      <c r="M208" s="385"/>
      <c r="N208" s="385"/>
      <c r="O208" s="385"/>
      <c r="P208" s="385"/>
      <c r="Q208" s="385"/>
      <c r="R208" s="385"/>
      <c r="S208" s="385"/>
      <c r="T208" s="385"/>
      <c r="U208" s="385"/>
    </row>
    <row r="209" spans="2:14" s="387" customFormat="1" ht="15.75">
      <c r="B209" s="353"/>
      <c r="C209" s="353"/>
      <c r="D209" s="353"/>
      <c r="E209" s="353"/>
      <c r="F209" s="353"/>
      <c r="G209" s="353"/>
      <c r="H209" s="353"/>
      <c r="I209" s="353"/>
      <c r="J209" s="353"/>
      <c r="K209" s="385"/>
      <c r="L209" s="385"/>
      <c r="M209" s="385"/>
      <c r="N209" s="385"/>
    </row>
    <row r="210" spans="2:14" s="387" customFormat="1" ht="15.75">
      <c r="B210" s="353"/>
      <c r="C210" s="353"/>
      <c r="D210" s="353"/>
      <c r="E210" s="353"/>
      <c r="F210" s="353"/>
      <c r="G210" s="353"/>
      <c r="H210" s="353"/>
      <c r="I210" s="353"/>
      <c r="J210" s="353"/>
      <c r="K210" s="385"/>
      <c r="L210" s="385"/>
      <c r="M210" s="385"/>
      <c r="N210" s="385"/>
    </row>
    <row r="211" spans="2:14" s="387" customFormat="1" ht="15.75">
      <c r="B211" s="353"/>
      <c r="C211" s="353"/>
      <c r="D211" s="353"/>
      <c r="E211" s="353"/>
      <c r="F211" s="353"/>
      <c r="G211" s="353"/>
      <c r="H211" s="353"/>
      <c r="I211" s="353"/>
      <c r="J211" s="353"/>
      <c r="K211" s="385"/>
      <c r="L211" s="385"/>
      <c r="M211" s="385"/>
      <c r="N211" s="385"/>
    </row>
    <row r="212" spans="2:14" s="387" customFormat="1" ht="15.75">
      <c r="B212" s="360"/>
      <c r="C212" s="360"/>
      <c r="D212" s="360"/>
      <c r="E212" s="360"/>
      <c r="F212" s="360"/>
      <c r="G212" s="353"/>
      <c r="H212" s="353"/>
      <c r="I212" s="353"/>
      <c r="J212" s="353"/>
      <c r="K212" s="385"/>
      <c r="L212" s="385"/>
      <c r="M212" s="385"/>
      <c r="N212" s="385"/>
    </row>
    <row r="213" spans="2:14" s="387" customFormat="1" ht="15.75">
      <c r="B213" s="353"/>
      <c r="C213" s="353"/>
      <c r="D213" s="353"/>
      <c r="E213" s="353"/>
      <c r="F213" s="353"/>
      <c r="G213" s="353"/>
      <c r="H213" s="353"/>
      <c r="I213" s="353"/>
      <c r="J213" s="353"/>
      <c r="K213" s="385"/>
      <c r="L213" s="385"/>
      <c r="M213" s="385"/>
      <c r="N213" s="385"/>
    </row>
    <row r="214" spans="2:14" s="387" customFormat="1" ht="15.75">
      <c r="B214" s="353"/>
      <c r="C214" s="353"/>
      <c r="D214" s="353"/>
      <c r="E214" s="353"/>
      <c r="F214" s="353"/>
      <c r="G214" s="353"/>
      <c r="H214" s="353"/>
      <c r="I214" s="353"/>
      <c r="J214" s="353"/>
      <c r="K214" s="385"/>
      <c r="L214" s="385"/>
      <c r="M214" s="385"/>
      <c r="N214" s="385"/>
    </row>
    <row r="215" spans="2:14" s="387" customFormat="1" ht="15.75">
      <c r="B215" s="353"/>
      <c r="C215" s="353"/>
      <c r="D215" s="353"/>
      <c r="E215" s="353"/>
      <c r="F215" s="353"/>
      <c r="G215" s="353"/>
      <c r="H215" s="353"/>
      <c r="I215" s="353"/>
      <c r="J215" s="353"/>
      <c r="K215" s="385"/>
      <c r="L215" s="385"/>
      <c r="M215" s="385"/>
      <c r="N215" s="385"/>
    </row>
    <row r="216" spans="2:14" s="387" customFormat="1" ht="15.75">
      <c r="B216" s="353"/>
      <c r="C216" s="353"/>
      <c r="D216" s="353"/>
      <c r="E216" s="353"/>
      <c r="F216" s="353"/>
      <c r="G216" s="353"/>
      <c r="H216" s="353"/>
      <c r="I216" s="353"/>
      <c r="J216" s="353"/>
      <c r="K216" s="385"/>
      <c r="L216" s="385"/>
      <c r="M216" s="385"/>
      <c r="N216" s="385"/>
    </row>
    <row r="217" spans="2:14" s="387" customFormat="1" ht="15.75">
      <c r="B217" s="353"/>
      <c r="C217" s="353"/>
      <c r="D217" s="353"/>
      <c r="E217" s="353"/>
      <c r="F217" s="397"/>
      <c r="G217" s="397"/>
      <c r="H217" s="397"/>
      <c r="I217" s="397"/>
      <c r="J217" s="398"/>
      <c r="K217" s="399"/>
      <c r="L217" s="400"/>
      <c r="M217" s="385"/>
      <c r="N217" s="385"/>
    </row>
    <row r="218" spans="2:14" s="387" customFormat="1" ht="15.75">
      <c r="B218" s="353"/>
      <c r="C218" s="353"/>
      <c r="D218" s="353"/>
      <c r="E218" s="353"/>
      <c r="F218" s="374"/>
      <c r="G218" s="374"/>
      <c r="H218" s="353"/>
      <c r="I218" s="353"/>
      <c r="J218" s="374"/>
      <c r="K218" s="401"/>
      <c r="L218" s="385"/>
      <c r="M218" s="385"/>
      <c r="N218" s="385"/>
    </row>
    <row r="219" spans="2:14" s="387" customFormat="1" ht="15.75">
      <c r="B219" s="353"/>
      <c r="C219" s="380"/>
      <c r="D219" s="353"/>
      <c r="E219" s="353"/>
      <c r="F219" s="374"/>
      <c r="G219" s="374"/>
      <c r="H219" s="353"/>
      <c r="I219" s="353"/>
      <c r="J219" s="374"/>
      <c r="K219" s="401"/>
      <c r="L219" s="385"/>
      <c r="M219" s="385"/>
      <c r="N219" s="385"/>
    </row>
    <row r="220" spans="2:14" s="387" customFormat="1" ht="15.75">
      <c r="B220" s="353"/>
      <c r="C220" s="353"/>
      <c r="D220" s="353"/>
      <c r="E220" s="353"/>
      <c r="F220" s="353"/>
      <c r="G220" s="353"/>
      <c r="H220" s="353"/>
      <c r="I220" s="353"/>
      <c r="J220" s="353"/>
      <c r="K220" s="385"/>
      <c r="L220" s="385"/>
      <c r="M220" s="385"/>
      <c r="N220" s="385"/>
    </row>
    <row r="221" spans="2:14" s="387" customFormat="1" ht="15.75">
      <c r="B221" s="353"/>
      <c r="C221" s="353"/>
      <c r="D221" s="353"/>
      <c r="E221" s="353"/>
      <c r="F221" s="353"/>
      <c r="G221" s="353"/>
      <c r="H221" s="353"/>
      <c r="I221" s="353"/>
      <c r="J221" s="353"/>
      <c r="K221" s="385"/>
      <c r="L221" s="385"/>
      <c r="M221" s="385"/>
      <c r="N221" s="385"/>
    </row>
    <row r="222" spans="2:14" s="387" customFormat="1" ht="15.75">
      <c r="B222" s="353"/>
      <c r="C222" s="353"/>
      <c r="D222" s="353"/>
      <c r="E222" s="353"/>
      <c r="F222" s="353"/>
      <c r="G222" s="353"/>
      <c r="H222" s="353"/>
      <c r="I222" s="353"/>
      <c r="J222" s="353"/>
      <c r="K222" s="385"/>
      <c r="L222" s="385"/>
      <c r="M222" s="385"/>
      <c r="N222" s="385"/>
    </row>
    <row r="223" spans="2:14" s="387" customFormat="1" ht="15.75">
      <c r="B223" s="353"/>
      <c r="C223" s="353"/>
      <c r="D223" s="353"/>
      <c r="E223" s="353"/>
      <c r="F223" s="402"/>
      <c r="G223" s="375"/>
      <c r="H223" s="353"/>
      <c r="I223" s="353"/>
      <c r="J223" s="375"/>
      <c r="K223" s="403"/>
      <c r="L223" s="385"/>
      <c r="M223" s="385"/>
      <c r="N223" s="385"/>
    </row>
    <row r="224" spans="2:14" s="387" customFormat="1" ht="15.75">
      <c r="B224" s="353"/>
      <c r="C224" s="353"/>
      <c r="D224" s="353"/>
      <c r="E224" s="353"/>
      <c r="F224" s="404"/>
      <c r="G224" s="404"/>
      <c r="H224" s="353"/>
      <c r="I224" s="353"/>
      <c r="J224" s="404"/>
      <c r="K224" s="405"/>
      <c r="L224" s="385"/>
      <c r="M224" s="385"/>
      <c r="N224" s="385"/>
    </row>
    <row r="225" spans="2:14" s="387" customFormat="1" ht="15.75">
      <c r="B225" s="353"/>
      <c r="C225" s="353"/>
      <c r="D225" s="353"/>
      <c r="E225" s="353"/>
      <c r="F225" s="353"/>
      <c r="G225" s="353"/>
      <c r="H225" s="353"/>
      <c r="I225" s="353"/>
      <c r="J225" s="353"/>
      <c r="K225" s="385"/>
      <c r="L225" s="385"/>
      <c r="M225" s="385"/>
      <c r="N225" s="385"/>
    </row>
    <row r="226" spans="2:14" s="387" customFormat="1" ht="15.75">
      <c r="B226" s="353"/>
      <c r="C226" s="380"/>
      <c r="D226" s="353"/>
      <c r="E226" s="353"/>
      <c r="F226" s="353"/>
      <c r="G226" s="353"/>
      <c r="H226" s="353"/>
      <c r="I226" s="353"/>
      <c r="J226" s="353"/>
      <c r="K226" s="385"/>
      <c r="L226" s="385"/>
      <c r="M226" s="385"/>
      <c r="N226" s="385"/>
    </row>
    <row r="227" spans="2:14" s="387" customFormat="1" ht="15.75">
      <c r="B227" s="353"/>
      <c r="C227" s="353"/>
      <c r="D227" s="353"/>
      <c r="E227" s="353"/>
      <c r="F227" s="353"/>
      <c r="G227" s="353"/>
      <c r="H227" s="353"/>
      <c r="I227" s="353"/>
      <c r="J227" s="353"/>
      <c r="K227" s="385"/>
      <c r="L227" s="385"/>
      <c r="M227" s="385"/>
      <c r="N227" s="385"/>
    </row>
    <row r="228" spans="2:14" s="387" customFormat="1" ht="15.75">
      <c r="B228" s="353"/>
      <c r="C228" s="353"/>
      <c r="D228" s="353"/>
      <c r="E228" s="353"/>
      <c r="F228" s="371"/>
      <c r="G228" s="371"/>
      <c r="H228" s="353"/>
      <c r="I228" s="353"/>
      <c r="J228" s="371"/>
      <c r="K228" s="406"/>
      <c r="L228" s="385"/>
      <c r="M228" s="385"/>
      <c r="N228" s="385"/>
    </row>
    <row r="229" spans="2:14" s="387" customFormat="1" ht="15.75">
      <c r="B229" s="353"/>
      <c r="C229" s="353"/>
      <c r="D229" s="353"/>
      <c r="E229" s="353"/>
      <c r="F229" s="353"/>
      <c r="G229" s="353"/>
      <c r="H229" s="353"/>
      <c r="I229" s="353"/>
      <c r="J229" s="353"/>
      <c r="K229" s="385"/>
      <c r="L229" s="385"/>
      <c r="M229" s="385"/>
      <c r="N229" s="385"/>
    </row>
    <row r="230" spans="2:14" s="387" customFormat="1" ht="15.75">
      <c r="B230" s="353"/>
      <c r="C230" s="380"/>
      <c r="D230" s="353"/>
      <c r="E230" s="353"/>
      <c r="F230" s="371"/>
      <c r="G230" s="371"/>
      <c r="H230" s="353"/>
      <c r="I230" s="353"/>
      <c r="J230" s="371"/>
      <c r="K230" s="406"/>
      <c r="L230" s="385"/>
      <c r="M230" s="385"/>
      <c r="N230" s="385"/>
    </row>
    <row r="231" spans="2:14" s="387" customFormat="1" ht="15.75">
      <c r="B231" s="353"/>
      <c r="C231" s="380"/>
      <c r="D231" s="353"/>
      <c r="E231" s="353"/>
      <c r="F231" s="371"/>
      <c r="G231" s="371"/>
      <c r="H231" s="353"/>
      <c r="I231" s="353"/>
      <c r="J231" s="371"/>
      <c r="K231" s="406"/>
      <c r="L231" s="385"/>
      <c r="M231" s="385"/>
      <c r="N231" s="385"/>
    </row>
    <row r="232" spans="2:14" s="387" customFormat="1" ht="15.75">
      <c r="B232" s="353"/>
      <c r="C232" s="353"/>
      <c r="D232" s="353"/>
      <c r="E232" s="353"/>
      <c r="F232" s="371"/>
      <c r="G232" s="371"/>
      <c r="H232" s="353"/>
      <c r="I232" s="353"/>
      <c r="J232" s="371"/>
      <c r="K232" s="406"/>
      <c r="L232" s="385"/>
      <c r="M232" s="385"/>
      <c r="N232" s="385"/>
    </row>
    <row r="233" spans="2:14" s="387" customFormat="1" ht="15.75">
      <c r="B233" s="353"/>
      <c r="C233" s="353"/>
      <c r="D233" s="353"/>
      <c r="E233" s="353"/>
      <c r="F233" s="371"/>
      <c r="G233" s="371"/>
      <c r="H233" s="353"/>
      <c r="I233" s="353"/>
      <c r="J233" s="371"/>
      <c r="K233" s="406"/>
      <c r="L233" s="385"/>
      <c r="M233" s="385"/>
      <c r="N233" s="385"/>
    </row>
    <row r="234" spans="2:26" s="387" customFormat="1" ht="15.75">
      <c r="B234" s="353"/>
      <c r="C234" s="353"/>
      <c r="D234" s="353"/>
      <c r="E234" s="353"/>
      <c r="F234" s="353"/>
      <c r="G234" s="353"/>
      <c r="H234" s="353"/>
      <c r="I234" s="353"/>
      <c r="J234" s="353"/>
      <c r="K234" s="353"/>
      <c r="L234" s="353"/>
      <c r="M234" s="353"/>
      <c r="N234" s="353"/>
      <c r="O234" s="354"/>
      <c r="P234" s="354"/>
      <c r="Q234" s="354"/>
      <c r="R234" s="354"/>
      <c r="S234" s="354"/>
      <c r="T234" s="354"/>
      <c r="U234" s="354"/>
      <c r="V234" s="354"/>
      <c r="W234" s="354"/>
      <c r="X234" s="354"/>
      <c r="Y234" s="354"/>
      <c r="Z234" s="354"/>
    </row>
    <row r="235" spans="2:14" s="387" customFormat="1" ht="15.75">
      <c r="B235" s="353"/>
      <c r="C235" s="353"/>
      <c r="D235" s="353"/>
      <c r="E235" s="353"/>
      <c r="F235" s="353"/>
      <c r="G235" s="353"/>
      <c r="H235" s="353"/>
      <c r="I235" s="353"/>
      <c r="J235" s="353"/>
      <c r="K235" s="385"/>
      <c r="L235" s="385"/>
      <c r="M235" s="385"/>
      <c r="N235" s="385"/>
    </row>
    <row r="236" spans="2:14" s="387" customFormat="1" ht="16.5" thickBot="1">
      <c r="B236" s="353"/>
      <c r="C236" s="353"/>
      <c r="D236" s="353"/>
      <c r="E236" s="353"/>
      <c r="F236" s="353"/>
      <c r="G236" s="353"/>
      <c r="H236" s="353"/>
      <c r="I236" s="353"/>
      <c r="J236" s="353"/>
      <c r="K236" s="385"/>
      <c r="L236" s="385"/>
      <c r="M236" s="385"/>
      <c r="N236" s="385"/>
    </row>
    <row r="237" spans="2:14" s="387" customFormat="1" ht="15.75">
      <c r="B237" s="353"/>
      <c r="C237" s="376"/>
      <c r="D237" s="377"/>
      <c r="E237" s="377"/>
      <c r="F237" s="377"/>
      <c r="G237" s="377"/>
      <c r="H237" s="377"/>
      <c r="I237" s="377"/>
      <c r="J237" s="407"/>
      <c r="K237" s="400"/>
      <c r="L237" s="385"/>
      <c r="M237" s="385"/>
      <c r="N237" s="385"/>
    </row>
    <row r="238" spans="2:14" s="387" customFormat="1" ht="15.75">
      <c r="B238" s="353"/>
      <c r="C238" s="378"/>
      <c r="D238" s="353"/>
      <c r="E238" s="353"/>
      <c r="F238" s="353"/>
      <c r="G238" s="353"/>
      <c r="H238" s="353"/>
      <c r="I238" s="353"/>
      <c r="J238" s="408"/>
      <c r="K238" s="409"/>
      <c r="L238" s="385"/>
      <c r="M238" s="385"/>
      <c r="N238" s="385"/>
    </row>
    <row r="239" spans="2:14" s="387" customFormat="1" ht="15.75">
      <c r="B239" s="353"/>
      <c r="C239" s="378"/>
      <c r="D239" s="353"/>
      <c r="E239" s="353"/>
      <c r="F239" s="353"/>
      <c r="G239" s="353"/>
      <c r="H239" s="353"/>
      <c r="I239" s="353"/>
      <c r="J239" s="408"/>
      <c r="K239" s="409"/>
      <c r="L239" s="385"/>
      <c r="M239" s="385"/>
      <c r="N239" s="385"/>
    </row>
    <row r="240" spans="2:14" s="387" customFormat="1" ht="15.75">
      <c r="B240" s="353"/>
      <c r="C240" s="378"/>
      <c r="D240" s="353"/>
      <c r="E240" s="353"/>
      <c r="F240" s="353"/>
      <c r="G240" s="353"/>
      <c r="H240" s="353"/>
      <c r="I240" s="353"/>
      <c r="J240" s="410"/>
      <c r="K240" s="400"/>
      <c r="L240" s="385"/>
      <c r="M240" s="385"/>
      <c r="N240" s="385"/>
    </row>
    <row r="241" spans="2:14" s="387" customFormat="1" ht="15.75">
      <c r="B241" s="353"/>
      <c r="C241" s="378"/>
      <c r="D241" s="353"/>
      <c r="E241" s="353"/>
      <c r="F241" s="353"/>
      <c r="G241" s="353"/>
      <c r="H241" s="353"/>
      <c r="I241" s="353"/>
      <c r="J241" s="411"/>
      <c r="K241" s="412"/>
      <c r="L241" s="385"/>
      <c r="M241" s="385"/>
      <c r="N241" s="385"/>
    </row>
    <row r="242" spans="2:14" s="387" customFormat="1" ht="15.75">
      <c r="B242" s="353"/>
      <c r="C242" s="378"/>
      <c r="D242" s="353"/>
      <c r="E242" s="353"/>
      <c r="F242" s="353"/>
      <c r="G242" s="353"/>
      <c r="H242" s="353"/>
      <c r="I242" s="353"/>
      <c r="J242" s="411"/>
      <c r="K242" s="412"/>
      <c r="L242" s="385"/>
      <c r="M242" s="385"/>
      <c r="N242" s="385"/>
    </row>
    <row r="243" spans="2:14" s="387" customFormat="1" ht="15.75">
      <c r="B243" s="353"/>
      <c r="C243" s="378"/>
      <c r="D243" s="353"/>
      <c r="E243" s="353"/>
      <c r="F243" s="353"/>
      <c r="G243" s="353"/>
      <c r="H243" s="353"/>
      <c r="I243" s="353"/>
      <c r="J243" s="410"/>
      <c r="K243" s="400"/>
      <c r="L243" s="385"/>
      <c r="M243" s="385"/>
      <c r="N243" s="385"/>
    </row>
    <row r="244" spans="2:14" s="387" customFormat="1" ht="15.75">
      <c r="B244" s="353"/>
      <c r="C244" s="413"/>
      <c r="D244" s="353"/>
      <c r="E244" s="353"/>
      <c r="F244" s="353"/>
      <c r="G244" s="353"/>
      <c r="H244" s="353"/>
      <c r="I244" s="353"/>
      <c r="J244" s="410"/>
      <c r="K244" s="400"/>
      <c r="L244" s="385"/>
      <c r="M244" s="385"/>
      <c r="N244" s="385"/>
    </row>
    <row r="245" spans="2:14" s="387" customFormat="1" ht="16.5" thickBot="1">
      <c r="B245" s="353"/>
      <c r="C245" s="414"/>
      <c r="D245" s="379"/>
      <c r="E245" s="379"/>
      <c r="F245" s="379"/>
      <c r="G245" s="379"/>
      <c r="H245" s="379"/>
      <c r="I245" s="379"/>
      <c r="J245" s="415"/>
      <c r="K245" s="409"/>
      <c r="L245" s="385"/>
      <c r="M245" s="385"/>
      <c r="N245" s="385"/>
    </row>
    <row r="246" spans="2:14" s="418" customFormat="1" ht="15.75">
      <c r="B246" s="416"/>
      <c r="C246" s="416"/>
      <c r="D246" s="416"/>
      <c r="E246" s="416"/>
      <c r="F246" s="417"/>
      <c r="G246" s="416"/>
      <c r="H246" s="416"/>
      <c r="I246" s="416"/>
      <c r="J246" s="416"/>
      <c r="K246" s="416"/>
      <c r="L246" s="416"/>
      <c r="M246" s="416"/>
      <c r="N246" s="416"/>
    </row>
    <row r="247" spans="2:14" s="387" customFormat="1" ht="15.75">
      <c r="B247" s="368"/>
      <c r="C247" s="368"/>
      <c r="D247" s="368"/>
      <c r="E247" s="368"/>
      <c r="F247" s="368"/>
      <c r="G247" s="368"/>
      <c r="H247" s="368"/>
      <c r="I247" s="353"/>
      <c r="J247" s="353"/>
      <c r="K247" s="385"/>
      <c r="L247" s="385"/>
      <c r="M247" s="385"/>
      <c r="N247" s="385"/>
    </row>
    <row r="248" spans="2:16" s="387" customFormat="1" ht="15.75">
      <c r="B248" s="367"/>
      <c r="C248" s="367"/>
      <c r="D248" s="367"/>
      <c r="E248" s="367"/>
      <c r="F248" s="367"/>
      <c r="G248" s="367"/>
      <c r="H248" s="367"/>
      <c r="I248" s="419"/>
      <c r="J248" s="366"/>
      <c r="K248" s="366"/>
      <c r="L248" s="366"/>
      <c r="M248" s="366"/>
      <c r="N248" s="366"/>
      <c r="O248" s="420"/>
      <c r="P248" s="420"/>
    </row>
    <row r="249" spans="2:16" s="387" customFormat="1" ht="15.75">
      <c r="B249" s="367"/>
      <c r="C249" s="367"/>
      <c r="D249" s="367"/>
      <c r="E249" s="367"/>
      <c r="F249" s="367"/>
      <c r="G249" s="367"/>
      <c r="H249" s="367"/>
      <c r="I249" s="419"/>
      <c r="J249" s="366"/>
      <c r="K249" s="366"/>
      <c r="L249" s="366"/>
      <c r="M249" s="366"/>
      <c r="N249" s="366"/>
      <c r="O249" s="420"/>
      <c r="P249" s="420"/>
    </row>
    <row r="250" spans="2:16" s="387" customFormat="1" ht="15.75">
      <c r="B250" s="367"/>
      <c r="C250" s="367"/>
      <c r="D250" s="367"/>
      <c r="E250" s="353"/>
      <c r="F250" s="353"/>
      <c r="G250" s="367"/>
      <c r="H250" s="367"/>
      <c r="I250" s="419"/>
      <c r="J250" s="366"/>
      <c r="K250" s="366"/>
      <c r="L250" s="366"/>
      <c r="M250" s="366"/>
      <c r="N250" s="366"/>
      <c r="O250" s="420"/>
      <c r="P250" s="420"/>
    </row>
    <row r="251" spans="2:16" s="387" customFormat="1" ht="15.75">
      <c r="B251" s="367"/>
      <c r="C251" s="367"/>
      <c r="D251" s="367"/>
      <c r="E251" s="353"/>
      <c r="F251" s="353"/>
      <c r="G251" s="367"/>
      <c r="H251" s="367"/>
      <c r="I251" s="419"/>
      <c r="J251" s="366"/>
      <c r="K251" s="366"/>
      <c r="L251" s="366"/>
      <c r="M251" s="366"/>
      <c r="N251" s="366"/>
      <c r="O251" s="420"/>
      <c r="P251" s="420"/>
    </row>
    <row r="252" spans="2:16" s="387" customFormat="1" ht="15.75">
      <c r="B252" s="367"/>
      <c r="C252" s="367"/>
      <c r="D252" s="367"/>
      <c r="E252" s="367"/>
      <c r="F252" s="367"/>
      <c r="G252" s="367"/>
      <c r="H252" s="367"/>
      <c r="I252" s="419"/>
      <c r="J252" s="366"/>
      <c r="K252" s="366"/>
      <c r="L252" s="366"/>
      <c r="M252" s="366"/>
      <c r="N252" s="366"/>
      <c r="O252" s="420"/>
      <c r="P252" s="420"/>
    </row>
    <row r="253" spans="2:16" s="387" customFormat="1" ht="15.75">
      <c r="B253" s="367"/>
      <c r="C253" s="367"/>
      <c r="D253" s="353"/>
      <c r="E253" s="367"/>
      <c r="F253" s="367"/>
      <c r="G253" s="367"/>
      <c r="H253" s="367"/>
      <c r="I253" s="419"/>
      <c r="J253" s="366"/>
      <c r="K253" s="366"/>
      <c r="L253" s="366"/>
      <c r="M253" s="366"/>
      <c r="N253" s="366"/>
      <c r="O253" s="420"/>
      <c r="P253" s="420"/>
    </row>
    <row r="254" spans="2:16" s="387" customFormat="1" ht="15.75">
      <c r="B254" s="367"/>
      <c r="C254" s="367"/>
      <c r="D254" s="353"/>
      <c r="E254" s="367"/>
      <c r="F254" s="367"/>
      <c r="G254" s="421"/>
      <c r="H254" s="367"/>
      <c r="I254" s="419"/>
      <c r="J254" s="366"/>
      <c r="K254" s="366"/>
      <c r="L254" s="366"/>
      <c r="M254" s="366"/>
      <c r="N254" s="366"/>
      <c r="O254" s="420"/>
      <c r="P254" s="420"/>
    </row>
    <row r="255" spans="2:16" s="387" customFormat="1" ht="15.75">
      <c r="B255" s="367"/>
      <c r="C255" s="367"/>
      <c r="D255" s="353"/>
      <c r="E255" s="367"/>
      <c r="F255" s="367"/>
      <c r="G255" s="421"/>
      <c r="H255" s="367"/>
      <c r="I255" s="419"/>
      <c r="J255" s="366"/>
      <c r="K255" s="366"/>
      <c r="L255" s="366"/>
      <c r="M255" s="366"/>
      <c r="N255" s="366"/>
      <c r="O255" s="420"/>
      <c r="P255" s="420"/>
    </row>
    <row r="256" spans="2:16" s="387" customFormat="1" ht="15.75">
      <c r="B256" s="367"/>
      <c r="C256" s="367"/>
      <c r="D256" s="353"/>
      <c r="E256" s="367"/>
      <c r="F256" s="367"/>
      <c r="G256" s="421"/>
      <c r="H256" s="367"/>
      <c r="I256" s="419"/>
      <c r="J256" s="366"/>
      <c r="K256" s="366"/>
      <c r="L256" s="366"/>
      <c r="M256" s="366"/>
      <c r="N256" s="366"/>
      <c r="O256" s="420"/>
      <c r="P256" s="420"/>
    </row>
    <row r="257" spans="2:16" s="387" customFormat="1" ht="15.75">
      <c r="B257" s="367"/>
      <c r="C257" s="367"/>
      <c r="D257" s="353"/>
      <c r="E257" s="367"/>
      <c r="F257" s="367"/>
      <c r="G257" s="421"/>
      <c r="H257" s="367"/>
      <c r="I257" s="419"/>
      <c r="J257" s="366"/>
      <c r="K257" s="366"/>
      <c r="L257" s="366"/>
      <c r="M257" s="366"/>
      <c r="N257" s="366"/>
      <c r="O257" s="420"/>
      <c r="P257" s="420"/>
    </row>
    <row r="258" spans="2:16" s="387" customFormat="1" ht="15.75">
      <c r="B258" s="367"/>
      <c r="C258" s="367"/>
      <c r="D258" s="353"/>
      <c r="E258" s="367"/>
      <c r="F258" s="367"/>
      <c r="G258" s="421"/>
      <c r="H258" s="367"/>
      <c r="I258" s="419"/>
      <c r="J258" s="366"/>
      <c r="K258" s="366"/>
      <c r="L258" s="366"/>
      <c r="M258" s="366"/>
      <c r="N258" s="366"/>
      <c r="O258" s="420"/>
      <c r="P258" s="420"/>
    </row>
    <row r="259" spans="2:16" s="387" customFormat="1" ht="15.75">
      <c r="B259" s="367"/>
      <c r="C259" s="367"/>
      <c r="D259" s="353"/>
      <c r="E259" s="367"/>
      <c r="F259" s="367"/>
      <c r="G259" s="367"/>
      <c r="H259" s="367"/>
      <c r="I259" s="419"/>
      <c r="J259" s="366"/>
      <c r="K259" s="366"/>
      <c r="L259" s="366"/>
      <c r="M259" s="366"/>
      <c r="N259" s="366"/>
      <c r="O259" s="420"/>
      <c r="P259" s="420"/>
    </row>
    <row r="260" spans="2:16" s="387" customFormat="1" ht="15.75">
      <c r="B260" s="367"/>
      <c r="C260" s="367"/>
      <c r="D260" s="353"/>
      <c r="E260" s="367"/>
      <c r="F260" s="353"/>
      <c r="G260" s="353"/>
      <c r="H260" s="367"/>
      <c r="I260" s="419"/>
      <c r="J260" s="366"/>
      <c r="K260" s="366"/>
      <c r="L260" s="366"/>
      <c r="M260" s="366"/>
      <c r="N260" s="366"/>
      <c r="O260" s="420"/>
      <c r="P260" s="420"/>
    </row>
    <row r="261" spans="2:16" s="387" customFormat="1" ht="15.75">
      <c r="B261" s="367"/>
      <c r="C261" s="367"/>
      <c r="D261" s="353"/>
      <c r="E261" s="367"/>
      <c r="F261" s="367"/>
      <c r="G261" s="367"/>
      <c r="H261" s="367"/>
      <c r="I261" s="366"/>
      <c r="J261" s="366"/>
      <c r="K261" s="366"/>
      <c r="L261" s="366"/>
      <c r="M261" s="366"/>
      <c r="N261" s="366"/>
      <c r="O261" s="420"/>
      <c r="P261" s="420"/>
    </row>
    <row r="262" spans="2:16" s="387" customFormat="1" ht="15.75">
      <c r="B262" s="367"/>
      <c r="C262" s="367"/>
      <c r="D262" s="353"/>
      <c r="E262" s="367"/>
      <c r="F262" s="367"/>
      <c r="G262" s="367"/>
      <c r="H262" s="367"/>
      <c r="I262" s="366"/>
      <c r="J262" s="366"/>
      <c r="K262" s="366"/>
      <c r="L262" s="366"/>
      <c r="M262" s="366"/>
      <c r="N262" s="366"/>
      <c r="O262" s="420"/>
      <c r="P262" s="420"/>
    </row>
    <row r="263" spans="2:16" s="387" customFormat="1" ht="15.75">
      <c r="B263" s="367"/>
      <c r="C263" s="367"/>
      <c r="D263" s="353"/>
      <c r="E263" s="367"/>
      <c r="F263" s="353"/>
      <c r="G263" s="353"/>
      <c r="H263" s="353"/>
      <c r="I263" s="366"/>
      <c r="J263" s="366"/>
      <c r="K263" s="366"/>
      <c r="L263" s="366"/>
      <c r="M263" s="366"/>
      <c r="N263" s="366"/>
      <c r="O263" s="420"/>
      <c r="P263" s="420"/>
    </row>
    <row r="264" spans="2:16" s="387" customFormat="1" ht="15.75">
      <c r="B264" s="367"/>
      <c r="C264" s="367"/>
      <c r="D264" s="353"/>
      <c r="E264" s="367"/>
      <c r="F264" s="367"/>
      <c r="G264" s="422"/>
      <c r="H264" s="422"/>
      <c r="I264" s="366"/>
      <c r="J264" s="366"/>
      <c r="K264" s="366"/>
      <c r="L264" s="366"/>
      <c r="M264" s="366"/>
      <c r="N264" s="366"/>
      <c r="O264" s="420"/>
      <c r="P264" s="420"/>
    </row>
    <row r="265" spans="2:16" s="387" customFormat="1" ht="15.75">
      <c r="B265" s="367"/>
      <c r="C265" s="367"/>
      <c r="D265" s="353"/>
      <c r="E265" s="367"/>
      <c r="F265" s="367"/>
      <c r="G265" s="423"/>
      <c r="H265" s="422"/>
      <c r="I265" s="366"/>
      <c r="J265" s="366"/>
      <c r="K265" s="366"/>
      <c r="L265" s="366"/>
      <c r="M265" s="366"/>
      <c r="N265" s="366"/>
      <c r="O265" s="420"/>
      <c r="P265" s="420"/>
    </row>
    <row r="266" spans="2:16" s="387" customFormat="1" ht="15.75">
      <c r="B266" s="367"/>
      <c r="C266" s="367"/>
      <c r="D266" s="353"/>
      <c r="E266" s="367"/>
      <c r="F266" s="367"/>
      <c r="G266" s="423"/>
      <c r="H266" s="422"/>
      <c r="I266" s="366"/>
      <c r="J266" s="366"/>
      <c r="K266" s="366"/>
      <c r="L266" s="366"/>
      <c r="M266" s="366"/>
      <c r="N266" s="366"/>
      <c r="O266" s="420"/>
      <c r="P266" s="420"/>
    </row>
    <row r="267" spans="2:16" s="387" customFormat="1" ht="15.75">
      <c r="B267" s="367"/>
      <c r="C267" s="367"/>
      <c r="D267" s="353"/>
      <c r="E267" s="367"/>
      <c r="F267" s="367"/>
      <c r="G267" s="423"/>
      <c r="H267" s="422"/>
      <c r="I267" s="366"/>
      <c r="J267" s="366"/>
      <c r="K267" s="366"/>
      <c r="L267" s="366"/>
      <c r="M267" s="366"/>
      <c r="N267" s="366"/>
      <c r="O267" s="420"/>
      <c r="P267" s="420"/>
    </row>
    <row r="268" spans="2:16" s="387" customFormat="1" ht="15.75">
      <c r="B268" s="367"/>
      <c r="C268" s="367"/>
      <c r="D268" s="353"/>
      <c r="E268" s="367"/>
      <c r="F268" s="367"/>
      <c r="G268" s="423"/>
      <c r="H268" s="422"/>
      <c r="I268" s="366"/>
      <c r="J268" s="366"/>
      <c r="K268" s="366"/>
      <c r="L268" s="366"/>
      <c r="M268" s="366"/>
      <c r="N268" s="366"/>
      <c r="O268" s="420"/>
      <c r="P268" s="420"/>
    </row>
    <row r="269" spans="2:16" s="387" customFormat="1" ht="15.75">
      <c r="B269" s="367"/>
      <c r="C269" s="367"/>
      <c r="D269" s="353"/>
      <c r="E269" s="367"/>
      <c r="F269" s="367"/>
      <c r="G269" s="367"/>
      <c r="H269" s="367"/>
      <c r="I269" s="366"/>
      <c r="J269" s="366"/>
      <c r="K269" s="366"/>
      <c r="L269" s="366"/>
      <c r="M269" s="366"/>
      <c r="N269" s="366"/>
      <c r="O269" s="420"/>
      <c r="P269" s="420"/>
    </row>
    <row r="270" spans="2:16" s="387" customFormat="1" ht="15.75">
      <c r="B270" s="367"/>
      <c r="C270" s="367"/>
      <c r="D270" s="353"/>
      <c r="E270" s="367"/>
      <c r="F270" s="367"/>
      <c r="G270" s="367"/>
      <c r="H270" s="367"/>
      <c r="I270" s="366"/>
      <c r="J270" s="366"/>
      <c r="K270" s="366"/>
      <c r="L270" s="366"/>
      <c r="M270" s="366"/>
      <c r="N270" s="366"/>
      <c r="O270" s="420"/>
      <c r="P270" s="420"/>
    </row>
    <row r="271" spans="2:16" s="387" customFormat="1" ht="15.75">
      <c r="B271" s="367"/>
      <c r="C271" s="367"/>
      <c r="D271" s="353"/>
      <c r="E271" s="367"/>
      <c r="F271" s="367"/>
      <c r="G271" s="421"/>
      <c r="H271" s="367"/>
      <c r="I271" s="366"/>
      <c r="J271" s="366"/>
      <c r="K271" s="366"/>
      <c r="L271" s="366"/>
      <c r="M271" s="366"/>
      <c r="N271" s="366"/>
      <c r="O271" s="420"/>
      <c r="P271" s="420"/>
    </row>
    <row r="272" spans="2:16" s="387" customFormat="1" ht="15.75">
      <c r="B272" s="367"/>
      <c r="C272" s="367"/>
      <c r="D272" s="353"/>
      <c r="E272" s="367"/>
      <c r="F272" s="367"/>
      <c r="G272" s="367"/>
      <c r="H272" s="367"/>
      <c r="I272" s="366"/>
      <c r="J272" s="366"/>
      <c r="K272" s="366"/>
      <c r="L272" s="366"/>
      <c r="M272" s="366"/>
      <c r="N272" s="366"/>
      <c r="O272" s="420"/>
      <c r="P272" s="420"/>
    </row>
    <row r="273" spans="2:16" s="387" customFormat="1" ht="15.75">
      <c r="B273" s="367"/>
      <c r="C273" s="367"/>
      <c r="D273" s="353"/>
      <c r="E273" s="367"/>
      <c r="F273" s="367"/>
      <c r="G273" s="367"/>
      <c r="H273" s="367"/>
      <c r="I273" s="366"/>
      <c r="J273" s="366"/>
      <c r="K273" s="366"/>
      <c r="L273" s="366"/>
      <c r="M273" s="366"/>
      <c r="N273" s="366"/>
      <c r="O273" s="420"/>
      <c r="P273" s="420"/>
    </row>
    <row r="274" spans="2:16" s="387" customFormat="1" ht="15.75">
      <c r="B274" s="367"/>
      <c r="C274" s="367"/>
      <c r="D274" s="353"/>
      <c r="E274" s="367"/>
      <c r="F274" s="367"/>
      <c r="G274" s="367"/>
      <c r="H274" s="367"/>
      <c r="I274" s="366"/>
      <c r="J274" s="366"/>
      <c r="K274" s="420"/>
      <c r="L274" s="420"/>
      <c r="M274" s="420"/>
      <c r="N274" s="420"/>
      <c r="O274" s="420"/>
      <c r="P274" s="420"/>
    </row>
    <row r="275" spans="2:16" s="387" customFormat="1" ht="15.75">
      <c r="B275" s="367"/>
      <c r="C275" s="367"/>
      <c r="D275" s="353"/>
      <c r="E275" s="367"/>
      <c r="F275" s="353"/>
      <c r="G275" s="353"/>
      <c r="H275" s="353"/>
      <c r="I275" s="366"/>
      <c r="J275" s="366"/>
      <c r="K275" s="420"/>
      <c r="L275" s="420"/>
      <c r="M275" s="420"/>
      <c r="N275" s="420"/>
      <c r="O275" s="420"/>
      <c r="P275" s="420"/>
    </row>
    <row r="276" spans="2:16" s="387" customFormat="1" ht="15.75">
      <c r="B276" s="367"/>
      <c r="C276" s="367"/>
      <c r="D276" s="353"/>
      <c r="E276" s="367"/>
      <c r="F276" s="353"/>
      <c r="G276" s="371"/>
      <c r="H276" s="366"/>
      <c r="I276" s="366"/>
      <c r="J276" s="366"/>
      <c r="K276" s="420"/>
      <c r="L276" s="420"/>
      <c r="M276" s="420"/>
      <c r="N276" s="420"/>
      <c r="O276" s="420"/>
      <c r="P276" s="420"/>
    </row>
    <row r="277" spans="2:16" s="387" customFormat="1" ht="15.75">
      <c r="B277" s="367"/>
      <c r="C277" s="367"/>
      <c r="D277" s="353"/>
      <c r="E277" s="367"/>
      <c r="F277" s="353"/>
      <c r="G277" s="371"/>
      <c r="H277" s="366"/>
      <c r="I277" s="366"/>
      <c r="J277" s="366"/>
      <c r="K277" s="420"/>
      <c r="L277" s="420"/>
      <c r="M277" s="420"/>
      <c r="N277" s="420"/>
      <c r="O277" s="420"/>
      <c r="P277" s="420"/>
    </row>
    <row r="278" spans="2:16" s="387" customFormat="1" ht="15.75">
      <c r="B278" s="367"/>
      <c r="C278" s="367"/>
      <c r="D278" s="353"/>
      <c r="E278" s="367"/>
      <c r="F278" s="367"/>
      <c r="G278" s="367"/>
      <c r="H278" s="367"/>
      <c r="I278" s="366"/>
      <c r="J278" s="366"/>
      <c r="K278" s="420"/>
      <c r="L278" s="420"/>
      <c r="M278" s="420"/>
      <c r="N278" s="420"/>
      <c r="O278" s="420"/>
      <c r="P278" s="420"/>
    </row>
    <row r="279" spans="2:16" s="387" customFormat="1" ht="15.75">
      <c r="B279" s="367"/>
      <c r="C279" s="367"/>
      <c r="D279" s="353"/>
      <c r="E279" s="367"/>
      <c r="F279" s="367"/>
      <c r="G279" s="367"/>
      <c r="H279" s="367"/>
      <c r="I279" s="366"/>
      <c r="J279" s="366"/>
      <c r="K279" s="424"/>
      <c r="L279" s="424"/>
      <c r="M279" s="424"/>
      <c r="N279" s="424"/>
      <c r="O279" s="424"/>
      <c r="P279" s="424"/>
    </row>
    <row r="280" spans="2:16" s="387" customFormat="1" ht="15.75">
      <c r="B280" s="367"/>
      <c r="C280" s="367"/>
      <c r="D280" s="353"/>
      <c r="E280" s="367"/>
      <c r="F280" s="367"/>
      <c r="G280" s="367"/>
      <c r="H280" s="367"/>
      <c r="I280" s="366"/>
      <c r="J280" s="366"/>
      <c r="K280" s="424"/>
      <c r="L280" s="424"/>
      <c r="M280" s="424"/>
      <c r="N280" s="424"/>
      <c r="O280" s="424"/>
      <c r="P280" s="424"/>
    </row>
    <row r="281" spans="2:16" s="387" customFormat="1" ht="15.75">
      <c r="B281" s="367"/>
      <c r="C281" s="367"/>
      <c r="D281" s="353"/>
      <c r="E281" s="367"/>
      <c r="F281" s="367"/>
      <c r="G281" s="367"/>
      <c r="H281" s="367"/>
      <c r="I281" s="366"/>
      <c r="J281" s="366"/>
      <c r="K281" s="424"/>
      <c r="L281" s="424"/>
      <c r="M281" s="424"/>
      <c r="N281" s="424"/>
      <c r="O281" s="424"/>
      <c r="P281" s="424"/>
    </row>
    <row r="282" spans="2:16" s="387" customFormat="1" ht="15.75">
      <c r="B282" s="367"/>
      <c r="C282" s="367"/>
      <c r="D282" s="353"/>
      <c r="E282" s="367"/>
      <c r="F282" s="367"/>
      <c r="G282" s="367"/>
      <c r="H282" s="367"/>
      <c r="I282" s="366"/>
      <c r="J282" s="366"/>
      <c r="K282" s="424"/>
      <c r="L282" s="424"/>
      <c r="M282" s="424"/>
      <c r="N282" s="424"/>
      <c r="O282" s="424"/>
      <c r="P282" s="424"/>
    </row>
    <row r="283" spans="2:16" s="387" customFormat="1" ht="15.75">
      <c r="B283" s="367"/>
      <c r="C283" s="367"/>
      <c r="D283" s="353"/>
      <c r="E283" s="367"/>
      <c r="F283" s="367"/>
      <c r="G283" s="367"/>
      <c r="H283" s="367"/>
      <c r="I283" s="366"/>
      <c r="J283" s="366"/>
      <c r="K283" s="424"/>
      <c r="L283" s="424"/>
      <c r="M283" s="424"/>
      <c r="N283" s="424"/>
      <c r="O283" s="424"/>
      <c r="P283" s="424"/>
    </row>
    <row r="284" spans="2:16" s="387" customFormat="1" ht="15.75">
      <c r="B284" s="367"/>
      <c r="C284" s="367"/>
      <c r="D284" s="353"/>
      <c r="E284" s="367"/>
      <c r="F284" s="367"/>
      <c r="G284" s="367"/>
      <c r="H284" s="367"/>
      <c r="I284" s="366"/>
      <c r="J284" s="366"/>
      <c r="K284" s="424"/>
      <c r="L284" s="424"/>
      <c r="M284" s="424"/>
      <c r="N284" s="424"/>
      <c r="O284" s="424"/>
      <c r="P284" s="424"/>
    </row>
    <row r="285" spans="2:16" s="387" customFormat="1" ht="15.75">
      <c r="B285" s="367"/>
      <c r="C285" s="367"/>
      <c r="D285" s="353"/>
      <c r="E285" s="367"/>
      <c r="F285" s="367"/>
      <c r="G285" s="367"/>
      <c r="H285" s="367"/>
      <c r="I285" s="366"/>
      <c r="J285" s="366"/>
      <c r="K285" s="424"/>
      <c r="L285" s="424"/>
      <c r="M285" s="424"/>
      <c r="N285" s="424"/>
      <c r="O285" s="424"/>
      <c r="P285" s="424"/>
    </row>
    <row r="286" spans="2:16" s="387" customFormat="1" ht="15.75">
      <c r="B286" s="367"/>
      <c r="C286" s="367"/>
      <c r="D286" s="353"/>
      <c r="E286" s="367"/>
      <c r="F286" s="367"/>
      <c r="G286" s="367"/>
      <c r="H286" s="367"/>
      <c r="I286" s="366"/>
      <c r="J286" s="366"/>
      <c r="K286" s="424"/>
      <c r="L286" s="424"/>
      <c r="M286" s="424"/>
      <c r="N286" s="424"/>
      <c r="O286" s="424"/>
      <c r="P286" s="424"/>
    </row>
    <row r="287" spans="2:16" s="387" customFormat="1" ht="15.75">
      <c r="B287" s="367"/>
      <c r="C287" s="367"/>
      <c r="D287" s="353"/>
      <c r="E287" s="367"/>
      <c r="F287" s="367"/>
      <c r="G287" s="367"/>
      <c r="H287" s="367"/>
      <c r="I287" s="366"/>
      <c r="J287" s="366"/>
      <c r="K287" s="424"/>
      <c r="L287" s="424"/>
      <c r="M287" s="424"/>
      <c r="N287" s="424"/>
      <c r="O287" s="424"/>
      <c r="P287" s="424"/>
    </row>
    <row r="288" spans="2:16" s="387" customFormat="1" ht="15.75">
      <c r="B288" s="367"/>
      <c r="C288" s="367"/>
      <c r="D288" s="353"/>
      <c r="E288" s="367"/>
      <c r="F288" s="425"/>
      <c r="G288" s="425"/>
      <c r="H288" s="425"/>
      <c r="I288" s="419"/>
      <c r="J288" s="366"/>
      <c r="K288" s="424"/>
      <c r="L288" s="424"/>
      <c r="M288" s="424"/>
      <c r="N288" s="424"/>
      <c r="O288" s="424"/>
      <c r="P288" s="424"/>
    </row>
    <row r="289" spans="2:16" s="387" customFormat="1" ht="15.75">
      <c r="B289" s="367"/>
      <c r="C289" s="367"/>
      <c r="D289" s="353"/>
      <c r="E289" s="367"/>
      <c r="F289" s="425"/>
      <c r="G289" s="425"/>
      <c r="H289" s="425"/>
      <c r="I289" s="419"/>
      <c r="J289" s="366"/>
      <c r="K289" s="424"/>
      <c r="L289" s="424"/>
      <c r="M289" s="424"/>
      <c r="N289" s="424"/>
      <c r="O289" s="424"/>
      <c r="P289" s="424"/>
    </row>
    <row r="290" spans="2:16" s="387" customFormat="1" ht="15.75">
      <c r="B290" s="367"/>
      <c r="C290" s="367"/>
      <c r="D290" s="353"/>
      <c r="E290" s="367"/>
      <c r="F290" s="425"/>
      <c r="G290" s="425"/>
      <c r="H290" s="425"/>
      <c r="I290" s="419"/>
      <c r="J290" s="366"/>
      <c r="K290" s="424"/>
      <c r="L290" s="424"/>
      <c r="M290" s="424"/>
      <c r="N290" s="424"/>
      <c r="O290" s="424"/>
      <c r="P290" s="424"/>
    </row>
    <row r="291" spans="2:16" s="387" customFormat="1" ht="15.75">
      <c r="B291" s="367"/>
      <c r="C291" s="367"/>
      <c r="D291" s="353"/>
      <c r="E291" s="367"/>
      <c r="F291" s="425"/>
      <c r="G291" s="425"/>
      <c r="H291" s="425"/>
      <c r="I291" s="419"/>
      <c r="J291" s="366"/>
      <c r="K291" s="424"/>
      <c r="L291" s="424"/>
      <c r="M291" s="424"/>
      <c r="N291" s="424"/>
      <c r="O291" s="424"/>
      <c r="P291" s="424"/>
    </row>
    <row r="292" spans="2:16" s="387" customFormat="1" ht="15.75">
      <c r="B292" s="367"/>
      <c r="C292" s="367"/>
      <c r="D292" s="353"/>
      <c r="E292" s="367"/>
      <c r="F292" s="425"/>
      <c r="G292" s="425"/>
      <c r="H292" s="425"/>
      <c r="I292" s="419"/>
      <c r="J292" s="366"/>
      <c r="K292" s="424"/>
      <c r="L292" s="424"/>
      <c r="M292" s="424"/>
      <c r="N292" s="424"/>
      <c r="O292" s="424"/>
      <c r="P292" s="424"/>
    </row>
    <row r="293" spans="2:10" ht="15.75">
      <c r="B293" s="367"/>
      <c r="C293" s="367"/>
      <c r="D293" s="366"/>
      <c r="E293" s="367"/>
      <c r="F293" s="425"/>
      <c r="G293" s="425"/>
      <c r="H293" s="425"/>
      <c r="I293" s="419"/>
      <c r="J293" s="366"/>
    </row>
    <row r="294" spans="2:10" ht="15.75">
      <c r="B294" s="367"/>
      <c r="C294" s="367"/>
      <c r="D294" s="366"/>
      <c r="E294" s="367"/>
      <c r="F294" s="425"/>
      <c r="G294" s="425"/>
      <c r="H294" s="425"/>
      <c r="I294" s="419"/>
      <c r="J294" s="366"/>
    </row>
    <row r="295" spans="2:10" ht="15.75">
      <c r="B295" s="367"/>
      <c r="C295" s="367"/>
      <c r="D295" s="366"/>
      <c r="E295" s="367"/>
      <c r="F295" s="425"/>
      <c r="G295" s="425"/>
      <c r="H295" s="425"/>
      <c r="I295" s="419"/>
      <c r="J295" s="366"/>
    </row>
    <row r="296" spans="2:10" ht="15.75">
      <c r="B296" s="367"/>
      <c r="C296" s="367"/>
      <c r="D296" s="366"/>
      <c r="E296" s="367"/>
      <c r="F296" s="425"/>
      <c r="G296" s="425"/>
      <c r="H296" s="425"/>
      <c r="I296" s="419"/>
      <c r="J296" s="366"/>
    </row>
    <row r="297" spans="2:10" ht="15.75">
      <c r="B297" s="367"/>
      <c r="C297" s="367"/>
      <c r="D297" s="366"/>
      <c r="E297" s="367"/>
      <c r="F297" s="425"/>
      <c r="G297" s="425"/>
      <c r="H297" s="425"/>
      <c r="I297" s="419"/>
      <c r="J297" s="366"/>
    </row>
    <row r="298" spans="2:10" ht="15.75">
      <c r="B298" s="367"/>
      <c r="C298" s="367"/>
      <c r="D298" s="366"/>
      <c r="E298" s="367"/>
      <c r="F298" s="425"/>
      <c r="G298" s="425"/>
      <c r="H298" s="425"/>
      <c r="I298" s="419"/>
      <c r="J298" s="366"/>
    </row>
    <row r="299" spans="2:10" ht="15.75">
      <c r="B299" s="367"/>
      <c r="C299" s="367"/>
      <c r="D299" s="366"/>
      <c r="E299" s="367"/>
      <c r="F299" s="425"/>
      <c r="G299" s="425"/>
      <c r="H299" s="425"/>
      <c r="I299" s="419"/>
      <c r="J299" s="366"/>
    </row>
    <row r="300" spans="2:10" ht="15.75">
      <c r="B300" s="367"/>
      <c r="C300" s="367"/>
      <c r="D300" s="366"/>
      <c r="E300" s="367"/>
      <c r="F300" s="425"/>
      <c r="G300" s="425"/>
      <c r="H300" s="425"/>
      <c r="I300" s="419"/>
      <c r="J300" s="366"/>
    </row>
    <row r="301" spans="2:10" ht="15.75">
      <c r="B301" s="367"/>
      <c r="C301" s="367"/>
      <c r="D301" s="366"/>
      <c r="E301" s="367"/>
      <c r="F301" s="425"/>
      <c r="G301" s="425"/>
      <c r="H301" s="425"/>
      <c r="I301" s="419"/>
      <c r="J301" s="366"/>
    </row>
    <row r="302" spans="2:10" ht="15.75">
      <c r="B302" s="367"/>
      <c r="C302" s="367"/>
      <c r="D302" s="366"/>
      <c r="E302" s="367"/>
      <c r="F302" s="425"/>
      <c r="G302" s="425"/>
      <c r="H302" s="425"/>
      <c r="I302" s="419"/>
      <c r="J302" s="366"/>
    </row>
    <row r="303" spans="2:10" ht="15.75">
      <c r="B303" s="367"/>
      <c r="C303" s="367"/>
      <c r="D303" s="366"/>
      <c r="E303" s="367"/>
      <c r="F303" s="425"/>
      <c r="G303" s="425"/>
      <c r="H303" s="425"/>
      <c r="I303" s="419"/>
      <c r="J303" s="366"/>
    </row>
    <row r="304" spans="2:10" ht="15.75">
      <c r="B304" s="367"/>
      <c r="C304" s="367"/>
      <c r="D304" s="366"/>
      <c r="E304" s="367"/>
      <c r="F304" s="425"/>
      <c r="G304" s="425"/>
      <c r="H304" s="425"/>
      <c r="I304" s="419"/>
      <c r="J304" s="366"/>
    </row>
    <row r="305" spans="2:10" ht="15.75">
      <c r="B305" s="367"/>
      <c r="C305" s="367"/>
      <c r="D305" s="366"/>
      <c r="E305" s="367"/>
      <c r="F305" s="425"/>
      <c r="G305" s="425"/>
      <c r="H305" s="425"/>
      <c r="I305" s="419"/>
      <c r="J305" s="366"/>
    </row>
    <row r="306" spans="2:10" ht="15.75">
      <c r="B306" s="367"/>
      <c r="C306" s="367"/>
      <c r="D306" s="366"/>
      <c r="E306" s="367"/>
      <c r="F306" s="425"/>
      <c r="G306" s="425"/>
      <c r="H306" s="425"/>
      <c r="I306" s="419"/>
      <c r="J306" s="366"/>
    </row>
    <row r="307" spans="2:10" ht="15.75">
      <c r="B307" s="367"/>
      <c r="C307" s="367"/>
      <c r="D307" s="366"/>
      <c r="E307" s="367"/>
      <c r="F307" s="425"/>
      <c r="G307" s="425"/>
      <c r="H307" s="425"/>
      <c r="I307" s="419"/>
      <c r="J307" s="366"/>
    </row>
    <row r="308" spans="2:10" ht="15.75">
      <c r="B308" s="367"/>
      <c r="C308" s="367"/>
      <c r="D308" s="366"/>
      <c r="E308" s="367"/>
      <c r="F308" s="425"/>
      <c r="G308" s="425"/>
      <c r="H308" s="425"/>
      <c r="I308" s="419"/>
      <c r="J308" s="366"/>
    </row>
    <row r="309" spans="2:10" ht="15.75">
      <c r="B309" s="367"/>
      <c r="C309" s="367"/>
      <c r="D309" s="366"/>
      <c r="E309" s="367"/>
      <c r="F309" s="425"/>
      <c r="G309" s="425"/>
      <c r="H309" s="425"/>
      <c r="I309" s="419"/>
      <c r="J309" s="366"/>
    </row>
    <row r="310" spans="2:10" ht="15.75">
      <c r="B310" s="367"/>
      <c r="C310" s="367"/>
      <c r="D310" s="366"/>
      <c r="E310" s="367"/>
      <c r="F310" s="425"/>
      <c r="G310" s="425"/>
      <c r="H310" s="425"/>
      <c r="I310" s="419"/>
      <c r="J310" s="366"/>
    </row>
    <row r="311" spans="2:10" ht="15.75">
      <c r="B311" s="367"/>
      <c r="C311" s="367"/>
      <c r="D311" s="366"/>
      <c r="E311" s="367"/>
      <c r="F311" s="425"/>
      <c r="G311" s="425"/>
      <c r="H311" s="425"/>
      <c r="I311" s="419"/>
      <c r="J311" s="366"/>
    </row>
    <row r="312" spans="2:10" ht="15.75">
      <c r="B312" s="367"/>
      <c r="C312" s="367"/>
      <c r="D312" s="366"/>
      <c r="E312" s="367"/>
      <c r="F312" s="425"/>
      <c r="G312" s="425"/>
      <c r="H312" s="425"/>
      <c r="I312" s="419"/>
      <c r="J312" s="366"/>
    </row>
    <row r="313" spans="2:10" ht="15.75">
      <c r="B313" s="367"/>
      <c r="C313" s="367"/>
      <c r="D313" s="366"/>
      <c r="E313" s="367"/>
      <c r="F313" s="425"/>
      <c r="G313" s="425"/>
      <c r="H313" s="425"/>
      <c r="I313" s="419"/>
      <c r="J313" s="366"/>
    </row>
    <row r="314" spans="2:10" ht="15.75">
      <c r="B314" s="367"/>
      <c r="C314" s="367"/>
      <c r="D314" s="366"/>
      <c r="E314" s="367"/>
      <c r="F314" s="425"/>
      <c r="G314" s="425"/>
      <c r="H314" s="425"/>
      <c r="I314" s="419"/>
      <c r="J314" s="366"/>
    </row>
    <row r="315" spans="2:10" ht="15.75">
      <c r="B315" s="367"/>
      <c r="C315" s="367"/>
      <c r="D315" s="366"/>
      <c r="E315" s="367"/>
      <c r="F315" s="425"/>
      <c r="G315" s="425"/>
      <c r="H315" s="425"/>
      <c r="I315" s="419"/>
      <c r="J315" s="366"/>
    </row>
    <row r="316" spans="2:10" ht="15.75">
      <c r="B316" s="367"/>
      <c r="C316" s="367"/>
      <c r="D316" s="366"/>
      <c r="E316" s="367"/>
      <c r="F316" s="425"/>
      <c r="G316" s="425"/>
      <c r="H316" s="425"/>
      <c r="I316" s="419"/>
      <c r="J316" s="366"/>
    </row>
    <row r="317" spans="2:10" ht="15.75">
      <c r="B317" s="367"/>
      <c r="C317" s="367"/>
      <c r="D317" s="366"/>
      <c r="E317" s="367"/>
      <c r="F317" s="425"/>
      <c r="G317" s="425"/>
      <c r="H317" s="425"/>
      <c r="I317" s="419"/>
      <c r="J317" s="366"/>
    </row>
    <row r="318" spans="2:10" ht="15.75">
      <c r="B318" s="367"/>
      <c r="C318" s="367"/>
      <c r="D318" s="366"/>
      <c r="E318" s="367"/>
      <c r="F318" s="425"/>
      <c r="G318" s="425"/>
      <c r="H318" s="425"/>
      <c r="I318" s="419"/>
      <c r="J318" s="366"/>
    </row>
    <row r="319" spans="2:10" ht="15.75">
      <c r="B319" s="367"/>
      <c r="C319" s="367"/>
      <c r="D319" s="366"/>
      <c r="E319" s="367"/>
      <c r="F319" s="425"/>
      <c r="G319" s="425"/>
      <c r="H319" s="425"/>
      <c r="I319" s="419"/>
      <c r="J319" s="366"/>
    </row>
    <row r="320" spans="2:10" ht="15.75">
      <c r="B320" s="367"/>
      <c r="C320" s="367"/>
      <c r="D320" s="366"/>
      <c r="E320" s="367"/>
      <c r="F320" s="425"/>
      <c r="G320" s="425"/>
      <c r="H320" s="425"/>
      <c r="I320" s="419"/>
      <c r="J320" s="366"/>
    </row>
    <row r="321" spans="2:10" ht="15.75">
      <c r="B321" s="367"/>
      <c r="C321" s="367"/>
      <c r="D321" s="366"/>
      <c r="E321" s="367"/>
      <c r="F321" s="425"/>
      <c r="G321" s="425"/>
      <c r="H321" s="425"/>
      <c r="I321" s="419"/>
      <c r="J321" s="366"/>
    </row>
    <row r="322" spans="2:10" ht="15.75">
      <c r="B322" s="367"/>
      <c r="C322" s="367"/>
      <c r="D322" s="366"/>
      <c r="E322" s="367"/>
      <c r="F322" s="425"/>
      <c r="G322" s="425"/>
      <c r="H322" s="425"/>
      <c r="I322" s="419"/>
      <c r="J322" s="366"/>
    </row>
    <row r="323" spans="2:10" ht="15.75">
      <c r="B323" s="367"/>
      <c r="C323" s="367"/>
      <c r="D323" s="366"/>
      <c r="E323" s="367"/>
      <c r="F323" s="425"/>
      <c r="G323" s="425"/>
      <c r="H323" s="425"/>
      <c r="I323" s="419"/>
      <c r="J323" s="366"/>
    </row>
    <row r="324" spans="2:10" ht="15.75">
      <c r="B324" s="367"/>
      <c r="C324" s="367"/>
      <c r="D324" s="366"/>
      <c r="E324" s="367"/>
      <c r="F324" s="425"/>
      <c r="G324" s="425"/>
      <c r="H324" s="425"/>
      <c r="I324" s="419"/>
      <c r="J324" s="366"/>
    </row>
    <row r="325" spans="2:10" ht="15.75">
      <c r="B325" s="367"/>
      <c r="C325" s="367"/>
      <c r="D325" s="366"/>
      <c r="E325" s="367"/>
      <c r="F325" s="425"/>
      <c r="G325" s="425"/>
      <c r="H325" s="425"/>
      <c r="I325" s="419"/>
      <c r="J325" s="366"/>
    </row>
    <row r="326" spans="2:10" ht="15.75">
      <c r="B326" s="367"/>
      <c r="C326" s="367"/>
      <c r="D326" s="366"/>
      <c r="E326" s="367"/>
      <c r="F326" s="425"/>
      <c r="G326" s="425"/>
      <c r="H326" s="425"/>
      <c r="I326" s="419"/>
      <c r="J326" s="366"/>
    </row>
    <row r="327" spans="2:10" ht="15.75">
      <c r="B327" s="367"/>
      <c r="C327" s="367"/>
      <c r="D327" s="366"/>
      <c r="E327" s="367"/>
      <c r="F327" s="425"/>
      <c r="G327" s="425"/>
      <c r="H327" s="425"/>
      <c r="I327" s="419"/>
      <c r="J327" s="366"/>
    </row>
    <row r="328" spans="2:10" ht="15.75">
      <c r="B328" s="426"/>
      <c r="C328" s="367"/>
      <c r="D328" s="366"/>
      <c r="E328" s="367"/>
      <c r="F328" s="425"/>
      <c r="G328" s="425"/>
      <c r="H328" s="425"/>
      <c r="I328" s="419"/>
      <c r="J328" s="366"/>
    </row>
    <row r="329" spans="2:10" ht="15.75">
      <c r="B329" s="367"/>
      <c r="C329" s="367"/>
      <c r="D329" s="366"/>
      <c r="E329" s="367"/>
      <c r="F329" s="425"/>
      <c r="G329" s="425"/>
      <c r="H329" s="425"/>
      <c r="I329" s="419"/>
      <c r="J329" s="366"/>
    </row>
    <row r="330" spans="2:10" ht="15.75">
      <c r="B330" s="367"/>
      <c r="C330" s="367"/>
      <c r="D330" s="366"/>
      <c r="E330" s="367"/>
      <c r="F330" s="425"/>
      <c r="G330" s="425"/>
      <c r="H330" s="425"/>
      <c r="I330" s="419"/>
      <c r="J330" s="366"/>
    </row>
    <row r="331" spans="2:10" ht="15.75">
      <c r="B331" s="367"/>
      <c r="C331" s="367"/>
      <c r="D331" s="366"/>
      <c r="E331" s="367"/>
      <c r="F331" s="425"/>
      <c r="G331" s="425"/>
      <c r="H331" s="425"/>
      <c r="I331" s="419"/>
      <c r="J331" s="366"/>
    </row>
    <row r="332" spans="2:10" ht="15.75">
      <c r="B332" s="367"/>
      <c r="C332" s="367"/>
      <c r="D332" s="366"/>
      <c r="E332" s="367"/>
      <c r="F332" s="425"/>
      <c r="G332" s="425"/>
      <c r="H332" s="425"/>
      <c r="I332" s="419"/>
      <c r="J332" s="366"/>
    </row>
    <row r="333" spans="2:10" ht="15.75">
      <c r="B333" s="367"/>
      <c r="C333" s="367"/>
      <c r="D333" s="366"/>
      <c r="E333" s="367"/>
      <c r="F333" s="425"/>
      <c r="G333" s="425"/>
      <c r="H333" s="425"/>
      <c r="I333" s="419"/>
      <c r="J333" s="366"/>
    </row>
    <row r="334" spans="2:10" ht="15.75">
      <c r="B334" s="367"/>
      <c r="C334" s="367"/>
      <c r="D334" s="366"/>
      <c r="E334" s="367"/>
      <c r="F334" s="425"/>
      <c r="G334" s="425"/>
      <c r="H334" s="425"/>
      <c r="I334" s="419"/>
      <c r="J334" s="366"/>
    </row>
    <row r="335" spans="2:10" ht="15.75">
      <c r="B335" s="367"/>
      <c r="C335" s="367"/>
      <c r="D335" s="366"/>
      <c r="E335" s="367"/>
      <c r="F335" s="425"/>
      <c r="G335" s="425"/>
      <c r="H335" s="425"/>
      <c r="I335" s="419"/>
      <c r="J335" s="366"/>
    </row>
    <row r="336" spans="2:10" ht="15.75">
      <c r="B336" s="367"/>
      <c r="C336" s="367"/>
      <c r="D336" s="366"/>
      <c r="E336" s="367"/>
      <c r="F336" s="425"/>
      <c r="G336" s="425"/>
      <c r="H336" s="425"/>
      <c r="I336" s="419"/>
      <c r="J336" s="366"/>
    </row>
    <row r="337" spans="2:10" ht="15.75">
      <c r="B337" s="367"/>
      <c r="C337" s="367"/>
      <c r="D337" s="366"/>
      <c r="E337" s="367"/>
      <c r="F337" s="425"/>
      <c r="G337" s="425"/>
      <c r="H337" s="425"/>
      <c r="I337" s="419"/>
      <c r="J337" s="366"/>
    </row>
    <row r="338" spans="2:10" ht="15.75">
      <c r="B338" s="367"/>
      <c r="C338" s="367"/>
      <c r="D338" s="366"/>
      <c r="E338" s="367"/>
      <c r="F338" s="425"/>
      <c r="G338" s="425"/>
      <c r="H338" s="425"/>
      <c r="I338" s="419"/>
      <c r="J338" s="366"/>
    </row>
    <row r="339" spans="2:10" ht="15.75">
      <c r="B339" s="367"/>
      <c r="C339" s="367"/>
      <c r="D339" s="366"/>
      <c r="E339" s="367"/>
      <c r="F339" s="425"/>
      <c r="G339" s="425"/>
      <c r="H339" s="425"/>
      <c r="I339" s="419"/>
      <c r="J339" s="366"/>
    </row>
    <row r="340" spans="2:10" ht="15.75">
      <c r="B340" s="366"/>
      <c r="C340" s="366"/>
      <c r="D340" s="366"/>
      <c r="E340" s="366"/>
      <c r="F340" s="366"/>
      <c r="G340" s="366"/>
      <c r="H340" s="366"/>
      <c r="I340" s="366"/>
      <c r="J340" s="366"/>
    </row>
  </sheetData>
  <sheetProtection/>
  <printOptions gridLines="1"/>
  <pageMargins left="0.34" right="0.29" top="0.23" bottom="0.24" header="0.2" footer="0.21"/>
  <pageSetup horizontalDpi="600" verticalDpi="600" orientation="landscape" paperSize="9" scale="70" r:id="rId6"/>
  <legacyDrawing r:id="rId5"/>
  <oleObjects>
    <oleObject progId="Equation.3" shapeId="509872" r:id="rId1"/>
    <oleObject progId="Equation.3" shapeId="1428398" r:id="rId2"/>
    <oleObject progId="Equation.3" shapeId="1813208" r:id="rId3"/>
    <oleObject progId="Equation.3" shapeId="2021484" r:id="rId4"/>
  </oleObjects>
</worksheet>
</file>

<file path=xl/worksheets/sheet12.xml><?xml version="1.0" encoding="utf-8"?>
<worksheet xmlns="http://schemas.openxmlformats.org/spreadsheetml/2006/main" xmlns:r="http://schemas.openxmlformats.org/officeDocument/2006/relationships">
  <sheetPr codeName="Sheet10">
    <pageSetUpPr fitToPage="1"/>
  </sheetPr>
  <dimension ref="A1:X43"/>
  <sheetViews>
    <sheetView zoomScale="110" zoomScaleNormal="110" zoomScalePageLayoutView="0" workbookViewId="0" topLeftCell="A1">
      <selection activeCell="A17" sqref="A17"/>
    </sheetView>
  </sheetViews>
  <sheetFormatPr defaultColWidth="9.140625" defaultRowHeight="15"/>
  <cols>
    <col min="2" max="2" width="29.00390625" style="0" customWidth="1"/>
    <col min="7" max="7" width="13.57421875" style="0" customWidth="1"/>
    <col min="8" max="8" width="11.00390625" style="21" customWidth="1"/>
    <col min="9" max="9" width="11.28125" style="21" customWidth="1"/>
    <col min="10" max="10" width="17.140625" style="37" bestFit="1" customWidth="1"/>
  </cols>
  <sheetData>
    <row r="1" spans="1:9" ht="15">
      <c r="A1" t="s">
        <v>523</v>
      </c>
      <c r="C1" s="40">
        <v>0.7529585053882566</v>
      </c>
      <c r="I1" s="21" t="s">
        <v>507</v>
      </c>
    </row>
    <row r="2" spans="1:10" ht="15">
      <c r="A2" t="s">
        <v>0</v>
      </c>
      <c r="C2" s="43">
        <f>C40</f>
        <v>-0.5140157734077605</v>
      </c>
      <c r="I2" s="165" t="s">
        <v>508</v>
      </c>
      <c r="J2" s="166" t="s">
        <v>508</v>
      </c>
    </row>
    <row r="3" spans="1:10" ht="15">
      <c r="A3" t="s">
        <v>492</v>
      </c>
      <c r="D3" s="8" t="s">
        <v>492</v>
      </c>
      <c r="G3" s="13" t="s">
        <v>492</v>
      </c>
      <c r="H3" s="21" t="s">
        <v>501</v>
      </c>
      <c r="I3" s="165" t="s">
        <v>509</v>
      </c>
      <c r="J3" s="166" t="s">
        <v>512</v>
      </c>
    </row>
    <row r="4" spans="1:10" ht="15">
      <c r="A4" t="s">
        <v>487</v>
      </c>
      <c r="B4" t="s">
        <v>1</v>
      </c>
      <c r="D4" s="8" t="s">
        <v>487</v>
      </c>
      <c r="G4" s="13" t="s">
        <v>487</v>
      </c>
      <c r="H4" s="21" t="s">
        <v>502</v>
      </c>
      <c r="I4" s="165" t="s">
        <v>510</v>
      </c>
      <c r="J4" s="166" t="s">
        <v>513</v>
      </c>
    </row>
    <row r="5" spans="1:10" ht="15">
      <c r="A5" t="s">
        <v>491</v>
      </c>
      <c r="D5" s="8" t="s">
        <v>497</v>
      </c>
      <c r="G5" s="13" t="s">
        <v>498</v>
      </c>
      <c r="H5" s="21" t="s">
        <v>503</v>
      </c>
      <c r="I5" s="165" t="s">
        <v>511</v>
      </c>
      <c r="J5" s="166" t="s">
        <v>514</v>
      </c>
    </row>
    <row r="6" spans="1:10" ht="15">
      <c r="A6" s="1" t="s">
        <v>485</v>
      </c>
      <c r="B6">
        <v>100</v>
      </c>
      <c r="D6" s="12" t="s">
        <v>485</v>
      </c>
      <c r="E6" s="8">
        <f>B6</f>
        <v>100</v>
      </c>
      <c r="F6" s="8"/>
      <c r="G6" s="13">
        <f>B6</f>
        <v>100</v>
      </c>
      <c r="H6" s="25" t="s">
        <v>515</v>
      </c>
      <c r="I6" s="165">
        <f>B6</f>
        <v>100</v>
      </c>
      <c r="J6" s="166">
        <f>B6</f>
        <v>100</v>
      </c>
    </row>
    <row r="7" spans="1:24" ht="15">
      <c r="A7" s="2" t="s">
        <v>488</v>
      </c>
      <c r="B7" s="26">
        <f>LN(C1)/A26^B8</f>
        <v>-0.6425197167597007</v>
      </c>
      <c r="C7" s="26"/>
      <c r="D7" s="34" t="s">
        <v>488</v>
      </c>
      <c r="E7" s="35">
        <f>+B7-((LN(B6/(B6*B9)))/(A26^B8))</f>
        <v>-0.7783852977823394</v>
      </c>
      <c r="F7" s="8"/>
      <c r="G7" s="36">
        <f>(LN(B9)+B7*(A26^B8))/(A26^G8)</f>
        <v>-0.7038385589143357</v>
      </c>
      <c r="H7" s="25" t="s">
        <v>516</v>
      </c>
      <c r="I7" s="167">
        <f>LN((B26+H9*(B6-(B6*B9)))/B6)/(A26^B8)</f>
        <v>-0.723271820384733</v>
      </c>
      <c r="J7" s="166">
        <f>LN(H26/B6)/(A26^J8)</f>
        <v>-0.6686907727926004</v>
      </c>
      <c r="K7" s="4"/>
      <c r="L7" s="4"/>
      <c r="M7" s="4"/>
      <c r="N7" s="4"/>
      <c r="O7" s="4"/>
      <c r="P7" s="4"/>
      <c r="Q7" s="4"/>
      <c r="R7" s="4"/>
      <c r="S7" s="4"/>
      <c r="T7" s="4"/>
      <c r="U7" s="4"/>
      <c r="V7" s="4"/>
      <c r="W7" s="4"/>
      <c r="X7" s="4"/>
    </row>
    <row r="8" spans="1:24" ht="15">
      <c r="A8" s="168" t="s">
        <v>486</v>
      </c>
      <c r="B8" s="40">
        <v>0.8</v>
      </c>
      <c r="D8" s="12" t="s">
        <v>486</v>
      </c>
      <c r="E8" s="8">
        <f>B8</f>
        <v>0.8</v>
      </c>
      <c r="F8" s="8"/>
      <c r="G8" s="36">
        <f>(LN((LN(B9)+B7*(A18^B8))/(LN(B9)+B7*(A26^B8))))/LN(A18/A26)</f>
        <v>0.7014608624428034</v>
      </c>
      <c r="H8" s="25" t="s">
        <v>517</v>
      </c>
      <c r="I8" s="169">
        <f>B8</f>
        <v>0.8</v>
      </c>
      <c r="J8" s="166">
        <f>(LN(LN(H18/B6)/LN(H26/B6)))/(LN(A18/A26))</f>
        <v>0.7231994447642991</v>
      </c>
      <c r="K8" s="4"/>
      <c r="L8" s="4"/>
      <c r="M8" s="4"/>
      <c r="N8" s="4"/>
      <c r="O8" s="4"/>
      <c r="P8" s="4"/>
      <c r="Q8" s="4"/>
      <c r="R8" s="4"/>
      <c r="S8" s="4"/>
      <c r="T8" s="4"/>
      <c r="U8" s="4"/>
      <c r="V8" s="4"/>
      <c r="W8" s="4"/>
      <c r="X8" s="4"/>
    </row>
    <row r="9" spans="1:24" ht="15">
      <c r="A9" s="1" t="s">
        <v>493</v>
      </c>
      <c r="B9" s="170">
        <v>0.9417645074847266</v>
      </c>
      <c r="C9" s="6" t="s">
        <v>518</v>
      </c>
      <c r="G9" s="13"/>
      <c r="H9" s="33">
        <v>0.3</v>
      </c>
      <c r="I9" s="165"/>
      <c r="J9" s="166"/>
      <c r="K9" s="4" t="s">
        <v>496</v>
      </c>
      <c r="L9" s="4"/>
      <c r="M9" s="4"/>
      <c r="N9" s="4"/>
      <c r="O9" s="4"/>
      <c r="P9" s="4"/>
      <c r="Q9" s="4"/>
      <c r="R9" s="4"/>
      <c r="S9" s="4"/>
      <c r="T9" s="4"/>
      <c r="U9" s="4"/>
      <c r="V9" s="4"/>
      <c r="W9" s="4"/>
      <c r="X9" s="4"/>
    </row>
    <row r="10" spans="1:24" ht="15">
      <c r="A10" s="2"/>
      <c r="E10" s="8" t="s">
        <v>519</v>
      </c>
      <c r="F10" s="8"/>
      <c r="G10" s="13"/>
      <c r="I10" s="165" t="s">
        <v>505</v>
      </c>
      <c r="J10" s="166"/>
      <c r="K10" s="4"/>
      <c r="L10" s="4"/>
      <c r="M10" s="4"/>
      <c r="N10" s="4"/>
      <c r="O10" s="4"/>
      <c r="P10" s="4"/>
      <c r="Q10" s="4"/>
      <c r="R10" s="4"/>
      <c r="S10" s="4"/>
      <c r="T10" s="4"/>
      <c r="U10" s="4"/>
      <c r="V10" s="4"/>
      <c r="W10" s="4"/>
      <c r="X10" s="4"/>
    </row>
    <row r="11" spans="1:24" ht="15">
      <c r="A11" s="2"/>
      <c r="B11" s="39"/>
      <c r="E11" s="9"/>
      <c r="F11" s="9"/>
      <c r="G11" s="13" t="s">
        <v>500</v>
      </c>
      <c r="H11" s="24" t="s">
        <v>504</v>
      </c>
      <c r="I11" s="165" t="s">
        <v>506</v>
      </c>
      <c r="J11" s="166"/>
      <c r="K11" s="4"/>
      <c r="L11" s="4"/>
      <c r="M11" s="4"/>
      <c r="N11" s="4"/>
      <c r="O11" s="4"/>
      <c r="P11" s="4"/>
      <c r="Q11" s="4"/>
      <c r="R11" s="4"/>
      <c r="S11" s="4"/>
      <c r="T11" s="4"/>
      <c r="U11" s="4"/>
      <c r="V11" s="4"/>
      <c r="W11" s="4"/>
      <c r="X11" s="4"/>
    </row>
    <row r="12" spans="1:24" ht="15">
      <c r="A12" t="s">
        <v>2</v>
      </c>
      <c r="B12" s="171"/>
      <c r="C12" t="s">
        <v>494</v>
      </c>
      <c r="D12" s="8"/>
      <c r="E12" s="172"/>
      <c r="F12" s="13" t="s">
        <v>489</v>
      </c>
      <c r="G12" s="20" t="s">
        <v>499</v>
      </c>
      <c r="H12" s="24" t="s">
        <v>489</v>
      </c>
      <c r="I12" s="173" t="s">
        <v>487</v>
      </c>
      <c r="J12" s="166"/>
      <c r="K12" s="4"/>
      <c r="L12" s="4"/>
      <c r="M12" s="4"/>
      <c r="N12" s="4"/>
      <c r="O12" s="4"/>
      <c r="P12" s="4"/>
      <c r="Q12" s="4"/>
      <c r="R12" s="4"/>
      <c r="S12" s="4"/>
      <c r="T12" s="4"/>
      <c r="U12" s="4"/>
      <c r="V12" s="4"/>
      <c r="W12" s="4"/>
      <c r="X12" s="4"/>
    </row>
    <row r="13" spans="1:24" ht="15">
      <c r="A13">
        <v>1.5</v>
      </c>
      <c r="B13" s="3">
        <f aca="true" t="shared" si="0" ref="B13:B35">B$9*B$6*EXP(B$7*($A13^B$8))</f>
        <v>38.72407064256002</v>
      </c>
      <c r="D13" s="174" t="s">
        <v>495</v>
      </c>
      <c r="E13" s="10">
        <f>B13</f>
        <v>38.72407064256002</v>
      </c>
      <c r="F13" s="14"/>
      <c r="G13" s="15">
        <f>G$6*EXP(G$7*($A13^G$8))</f>
        <v>39.24315535372895</v>
      </c>
      <c r="H13" s="22"/>
      <c r="I13" s="175">
        <f aca="true" t="shared" si="1" ref="I13:I26">B13+$H$26-$F$26</f>
        <v>40.47113541801822</v>
      </c>
      <c r="J13" s="176">
        <f>J$6*EXP(J$7*($A13^J$8))</f>
        <v>40.79748179125006</v>
      </c>
      <c r="K13" s="4"/>
      <c r="L13" s="4"/>
      <c r="M13" s="4"/>
      <c r="N13" s="4"/>
      <c r="O13" s="4"/>
      <c r="P13" s="4"/>
      <c r="Q13" s="4"/>
      <c r="R13" s="4"/>
      <c r="S13" s="4"/>
      <c r="T13" s="4"/>
      <c r="U13" s="4"/>
      <c r="V13" s="4"/>
      <c r="W13" s="4"/>
      <c r="X13" s="4"/>
    </row>
    <row r="14" spans="1:24" ht="15">
      <c r="A14">
        <f>A13-0.1</f>
        <v>1.4</v>
      </c>
      <c r="B14" s="3">
        <f t="shared" si="0"/>
        <v>40.61688726650641</v>
      </c>
      <c r="D14" s="174" t="s">
        <v>495</v>
      </c>
      <c r="E14" s="10">
        <f aca="true" t="shared" si="2" ref="E14:E23">B14</f>
        <v>40.61688726650641</v>
      </c>
      <c r="F14" s="14"/>
      <c r="G14" s="15">
        <f aca="true" t="shared" si="3" ref="G14:G35">G$6*EXP(G$7*($A14^G$8))</f>
        <v>41.01624403136401</v>
      </c>
      <c r="H14" s="22"/>
      <c r="I14" s="175">
        <f t="shared" si="1"/>
        <v>42.36395204196461</v>
      </c>
      <c r="J14" s="176">
        <f aca="true" t="shared" si="4" ref="J14:J35">J$6*EXP(J$7*($A14^J$8))</f>
        <v>42.61714238034543</v>
      </c>
      <c r="K14" s="4"/>
      <c r="L14" s="4"/>
      <c r="M14" s="4"/>
      <c r="N14" s="4"/>
      <c r="O14" s="4"/>
      <c r="P14" s="4"/>
      <c r="Q14" s="4"/>
      <c r="R14" s="4"/>
      <c r="S14" s="4"/>
      <c r="T14" s="4"/>
      <c r="U14" s="4"/>
      <c r="V14" s="4"/>
      <c r="W14" s="4"/>
      <c r="X14" s="4"/>
    </row>
    <row r="15" spans="1:24" ht="15">
      <c r="A15">
        <f aca="true" t="shared" si="5" ref="A15:A31">A14-0.1</f>
        <v>1.2999999999999998</v>
      </c>
      <c r="B15" s="3">
        <f t="shared" si="0"/>
        <v>42.6315142077929</v>
      </c>
      <c r="D15" s="174" t="s">
        <v>495</v>
      </c>
      <c r="E15" s="10">
        <f t="shared" si="2"/>
        <v>42.6315142077929</v>
      </c>
      <c r="F15" s="14"/>
      <c r="G15" s="15">
        <f t="shared" si="3"/>
        <v>42.91033598638706</v>
      </c>
      <c r="H15" s="22"/>
      <c r="I15" s="175">
        <f t="shared" si="1"/>
        <v>44.3785789832511</v>
      </c>
      <c r="J15" s="176">
        <f t="shared" si="4"/>
        <v>44.55680909325605</v>
      </c>
      <c r="K15" s="4"/>
      <c r="L15" s="4"/>
      <c r="M15" s="4"/>
      <c r="N15" s="4"/>
      <c r="O15" s="4"/>
      <c r="P15" s="4"/>
      <c r="Q15" s="4"/>
      <c r="R15" s="4"/>
      <c r="S15" s="4"/>
      <c r="T15" s="4"/>
      <c r="U15" s="4"/>
      <c r="V15" s="4"/>
      <c r="W15" s="4"/>
      <c r="X15" s="4"/>
    </row>
    <row r="16" spans="1:24" ht="15">
      <c r="A16">
        <f t="shared" si="5"/>
        <v>1.1999999999999997</v>
      </c>
      <c r="B16" s="3">
        <f t="shared" si="0"/>
        <v>44.77970058471395</v>
      </c>
      <c r="D16" s="174" t="s">
        <v>495</v>
      </c>
      <c r="E16" s="10">
        <f t="shared" si="2"/>
        <v>44.77970058471395</v>
      </c>
      <c r="F16" s="14"/>
      <c r="G16" s="15">
        <f t="shared" si="3"/>
        <v>44.93905322958076</v>
      </c>
      <c r="H16" s="22"/>
      <c r="I16" s="175">
        <f t="shared" si="1"/>
        <v>46.52676536017215</v>
      </c>
      <c r="J16" s="176">
        <f t="shared" si="4"/>
        <v>46.62945074007997</v>
      </c>
      <c r="K16" s="4"/>
      <c r="L16" s="4"/>
      <c r="M16" s="4"/>
      <c r="N16" s="4"/>
      <c r="O16" s="4"/>
      <c r="P16" s="4"/>
      <c r="Q16" s="4"/>
      <c r="R16" s="4"/>
      <c r="S16" s="4"/>
      <c r="T16" s="4"/>
      <c r="U16" s="4"/>
      <c r="V16" s="4"/>
      <c r="W16" s="4"/>
      <c r="X16" s="4"/>
    </row>
    <row r="17" spans="1:24" ht="15">
      <c r="A17">
        <f t="shared" si="5"/>
        <v>1.0999999999999996</v>
      </c>
      <c r="B17" s="3">
        <f t="shared" si="0"/>
        <v>47.075061571858605</v>
      </c>
      <c r="D17" s="174" t="s">
        <v>495</v>
      </c>
      <c r="E17" s="10">
        <f t="shared" si="2"/>
        <v>47.075061571858605</v>
      </c>
      <c r="F17" s="14"/>
      <c r="G17" s="15">
        <f t="shared" si="3"/>
        <v>47.11855602372588</v>
      </c>
      <c r="H17" s="22"/>
      <c r="I17" s="175">
        <f t="shared" si="1"/>
        <v>48.8221263473168</v>
      </c>
      <c r="J17" s="176">
        <f t="shared" si="4"/>
        <v>48.85037571838834</v>
      </c>
      <c r="K17" s="4"/>
      <c r="L17" s="4"/>
      <c r="M17" s="4"/>
      <c r="N17" s="4"/>
      <c r="O17" s="4"/>
      <c r="P17" s="4"/>
      <c r="Q17" s="4"/>
      <c r="R17" s="4"/>
      <c r="S17" s="4"/>
      <c r="T17" s="4"/>
      <c r="U17" s="4"/>
      <c r="V17" s="4"/>
      <c r="W17" s="4"/>
      <c r="X17" s="4"/>
    </row>
    <row r="18" spans="1:24" ht="15">
      <c r="A18" s="16">
        <v>1.061</v>
      </c>
      <c r="B18" s="7">
        <f t="shared" si="0"/>
        <v>48.01350033993263</v>
      </c>
      <c r="D18" s="177" t="s">
        <v>495</v>
      </c>
      <c r="E18" s="11">
        <f t="shared" si="2"/>
        <v>48.01350033993263</v>
      </c>
      <c r="F18" s="18">
        <f>E18</f>
        <v>48.01350033993263</v>
      </c>
      <c r="G18" s="14">
        <f t="shared" si="3"/>
        <v>48.01350033993263</v>
      </c>
      <c r="H18" s="23">
        <f>F18+H26-F26</f>
        <v>49.76056511539083</v>
      </c>
      <c r="I18" s="175">
        <f t="shared" si="1"/>
        <v>49.76056511539083</v>
      </c>
      <c r="J18" s="176">
        <f t="shared" si="4"/>
        <v>49.760565115390825</v>
      </c>
      <c r="K18" s="4"/>
      <c r="L18" s="4"/>
      <c r="M18" s="4"/>
      <c r="N18" s="4"/>
      <c r="O18" s="4"/>
      <c r="P18" s="4"/>
      <c r="Q18" s="4"/>
      <c r="R18" s="4"/>
      <c r="S18" s="4"/>
      <c r="T18" s="4"/>
      <c r="U18" s="4"/>
      <c r="V18" s="4"/>
      <c r="W18" s="4"/>
      <c r="X18" s="4"/>
    </row>
    <row r="19" spans="1:24" ht="15">
      <c r="A19">
        <f>A17-0.1</f>
        <v>0.9999999999999997</v>
      </c>
      <c r="B19" s="3">
        <f t="shared" si="0"/>
        <v>49.53356108314127</v>
      </c>
      <c r="C19" s="16"/>
      <c r="D19" s="174" t="s">
        <v>495</v>
      </c>
      <c r="E19" s="10">
        <f t="shared" si="2"/>
        <v>49.53356108314127</v>
      </c>
      <c r="F19" s="14"/>
      <c r="G19" s="15">
        <f t="shared" si="3"/>
        <v>49.46827856468641</v>
      </c>
      <c r="H19" s="22"/>
      <c r="I19" s="175">
        <f t="shared" si="1"/>
        <v>51.280625858599464</v>
      </c>
      <c r="J19" s="176">
        <f t="shared" si="4"/>
        <v>51.23789593239575</v>
      </c>
      <c r="K19" s="4"/>
      <c r="L19" s="4"/>
      <c r="M19" s="4"/>
      <c r="N19" s="4"/>
      <c r="O19" s="4"/>
      <c r="P19" s="4"/>
      <c r="Q19" s="4"/>
      <c r="R19" s="4"/>
      <c r="S19" s="4"/>
      <c r="T19" s="4"/>
      <c r="U19" s="4"/>
      <c r="V19" s="4"/>
      <c r="W19" s="4"/>
      <c r="X19" s="4"/>
    </row>
    <row r="20" spans="1:24" ht="15">
      <c r="A20">
        <f t="shared" si="5"/>
        <v>0.8999999999999997</v>
      </c>
      <c r="B20" s="3">
        <f t="shared" si="0"/>
        <v>52.174183518724796</v>
      </c>
      <c r="C20" s="16"/>
      <c r="D20" s="174" t="s">
        <v>495</v>
      </c>
      <c r="E20" s="10">
        <f t="shared" si="2"/>
        <v>52.174183518724796</v>
      </c>
      <c r="F20" s="14"/>
      <c r="G20" s="15">
        <f t="shared" si="3"/>
        <v>52.011974793645045</v>
      </c>
      <c r="H20" s="22"/>
      <c r="I20" s="175">
        <f t="shared" si="1"/>
        <v>53.921248294183</v>
      </c>
      <c r="J20" s="176">
        <f t="shared" si="4"/>
        <v>53.81426675302671</v>
      </c>
      <c r="K20" s="4"/>
      <c r="L20" s="4"/>
      <c r="M20" s="4"/>
      <c r="N20" s="4"/>
      <c r="O20" s="4"/>
      <c r="P20" s="4"/>
      <c r="Q20" s="4"/>
      <c r="R20" s="4"/>
      <c r="S20" s="4"/>
      <c r="T20" s="4"/>
      <c r="U20" s="4"/>
      <c r="V20" s="4"/>
      <c r="W20" s="4"/>
      <c r="X20" s="4"/>
    </row>
    <row r="21" spans="1:24" ht="15">
      <c r="A21">
        <f t="shared" si="5"/>
        <v>0.7999999999999997</v>
      </c>
      <c r="B21" s="3">
        <f t="shared" si="0"/>
        <v>55.01989983328099</v>
      </c>
      <c r="C21" s="16"/>
      <c r="D21" s="174" t="s">
        <v>495</v>
      </c>
      <c r="E21" s="10">
        <f t="shared" si="2"/>
        <v>55.01989983328099</v>
      </c>
      <c r="F21" s="14"/>
      <c r="G21" s="15">
        <f t="shared" si="3"/>
        <v>54.77925594076203</v>
      </c>
      <c r="H21" s="22"/>
      <c r="I21" s="175">
        <f t="shared" si="1"/>
        <v>56.76696460873919</v>
      </c>
      <c r="J21" s="176">
        <f t="shared" si="4"/>
        <v>56.607063074016764</v>
      </c>
      <c r="K21" s="4"/>
      <c r="L21" s="4"/>
      <c r="M21" s="4"/>
      <c r="N21" s="4"/>
      <c r="O21" s="4"/>
      <c r="P21" s="4"/>
      <c r="Q21" s="4"/>
      <c r="R21" s="4"/>
      <c r="S21" s="4"/>
      <c r="T21" s="4"/>
      <c r="U21" s="4"/>
      <c r="V21" s="4"/>
      <c r="W21" s="4"/>
      <c r="X21" s="4"/>
    </row>
    <row r="22" spans="1:24" ht="15">
      <c r="A22">
        <f t="shared" si="5"/>
        <v>0.6999999999999997</v>
      </c>
      <c r="B22" s="3">
        <f t="shared" si="0"/>
        <v>58.09911349950747</v>
      </c>
      <c r="C22" s="16"/>
      <c r="D22" s="174" t="s">
        <v>495</v>
      </c>
      <c r="E22" s="10">
        <f t="shared" si="2"/>
        <v>58.09911349950747</v>
      </c>
      <c r="F22" s="14"/>
      <c r="G22" s="15">
        <f t="shared" si="3"/>
        <v>57.80794537540053</v>
      </c>
      <c r="H22" s="22"/>
      <c r="I22" s="175">
        <f t="shared" si="1"/>
        <v>59.84617827496568</v>
      </c>
      <c r="J22" s="176">
        <f t="shared" si="4"/>
        <v>59.65127744163986</v>
      </c>
      <c r="K22" s="4"/>
      <c r="L22" s="4"/>
      <c r="M22" s="4"/>
      <c r="N22" s="4"/>
      <c r="O22" s="4"/>
      <c r="P22" s="4"/>
      <c r="Q22" s="4"/>
      <c r="R22" s="4"/>
      <c r="S22" s="4"/>
      <c r="T22" s="4"/>
      <c r="U22" s="4"/>
      <c r="V22" s="4"/>
      <c r="W22" s="4"/>
      <c r="X22" s="4"/>
    </row>
    <row r="23" spans="1:24" ht="15">
      <c r="A23">
        <f t="shared" si="5"/>
        <v>0.5999999999999998</v>
      </c>
      <c r="B23" s="3">
        <f t="shared" si="0"/>
        <v>61.447934968657584</v>
      </c>
      <c r="C23" s="16"/>
      <c r="D23" s="174" t="s">
        <v>495</v>
      </c>
      <c r="E23" s="10">
        <f t="shared" si="2"/>
        <v>61.447934968657584</v>
      </c>
      <c r="F23" s="14"/>
      <c r="G23" s="15">
        <f t="shared" si="3"/>
        <v>61.147873323628446</v>
      </c>
      <c r="H23" s="22"/>
      <c r="I23" s="175">
        <f t="shared" si="1"/>
        <v>63.194999744115776</v>
      </c>
      <c r="J23" s="176">
        <f t="shared" si="4"/>
        <v>62.99268512308378</v>
      </c>
      <c r="K23" s="4"/>
      <c r="L23" s="4"/>
      <c r="M23" s="4"/>
      <c r="N23" s="4"/>
      <c r="O23" s="4"/>
      <c r="P23" s="4"/>
      <c r="Q23" s="4"/>
      <c r="R23" s="4"/>
      <c r="S23" s="4"/>
      <c r="T23" s="4"/>
      <c r="U23" s="4"/>
      <c r="V23" s="4"/>
      <c r="W23" s="4"/>
      <c r="X23" s="4"/>
    </row>
    <row r="24" spans="1:24" ht="15">
      <c r="A24">
        <f t="shared" si="5"/>
        <v>0.4999999999999998</v>
      </c>
      <c r="B24" s="3">
        <f t="shared" si="0"/>
        <v>65.11399398150881</v>
      </c>
      <c r="C24" s="16"/>
      <c r="D24" s="174" t="s">
        <v>495</v>
      </c>
      <c r="E24" s="10">
        <f>B24</f>
        <v>65.11399398150881</v>
      </c>
      <c r="F24" s="14"/>
      <c r="G24" s="15">
        <f t="shared" si="3"/>
        <v>64.86740273947474</v>
      </c>
      <c r="H24" s="22"/>
      <c r="I24" s="175">
        <f t="shared" si="1"/>
        <v>66.86105875696701</v>
      </c>
      <c r="J24" s="176">
        <f t="shared" si="4"/>
        <v>66.69360181648972</v>
      </c>
      <c r="K24" s="4"/>
      <c r="L24" s="4"/>
      <c r="M24" s="4"/>
      <c r="N24" s="4"/>
      <c r="O24" s="4"/>
      <c r="P24" s="4"/>
      <c r="Q24" s="4"/>
      <c r="R24" s="4"/>
      <c r="S24" s="4"/>
      <c r="T24" s="4"/>
      <c r="U24" s="4"/>
      <c r="V24" s="4"/>
      <c r="W24" s="4"/>
      <c r="X24" s="4"/>
    </row>
    <row r="25" spans="1:24" ht="15">
      <c r="A25">
        <f>A24-0.1</f>
        <v>0.3999999999999998</v>
      </c>
      <c r="B25" s="3">
        <f t="shared" si="0"/>
        <v>69.16339203632202</v>
      </c>
      <c r="C25" s="16"/>
      <c r="D25" s="174" t="s">
        <v>495</v>
      </c>
      <c r="E25" s="10">
        <f>B25</f>
        <v>69.16339203632202</v>
      </c>
      <c r="F25" s="14"/>
      <c r="G25" s="15">
        <f t="shared" si="3"/>
        <v>69.06566504964213</v>
      </c>
      <c r="H25" s="22"/>
      <c r="I25" s="175">
        <f t="shared" si="1"/>
        <v>70.91045681178021</v>
      </c>
      <c r="J25" s="176">
        <f t="shared" si="4"/>
        <v>70.84361949299294</v>
      </c>
      <c r="K25" s="4"/>
      <c r="L25" s="4"/>
      <c r="M25" s="4"/>
      <c r="N25" s="4"/>
      <c r="O25" s="4"/>
      <c r="P25" s="4"/>
      <c r="Q25" s="4"/>
      <c r="R25" s="4"/>
      <c r="S25" s="4"/>
      <c r="T25" s="4"/>
      <c r="U25" s="4"/>
      <c r="V25" s="4"/>
      <c r="W25" s="4"/>
      <c r="X25" s="4"/>
    </row>
    <row r="26" spans="1:10" s="27" customFormat="1" ht="15">
      <c r="A26" s="27">
        <v>0.36</v>
      </c>
      <c r="B26" s="181">
        <f t="shared" si="0"/>
        <v>70.91095959834074</v>
      </c>
      <c r="C26" s="28">
        <f>$B$9*B6*C1</f>
        <v>70.91095959834074</v>
      </c>
      <c r="D26" s="178" t="s">
        <v>495</v>
      </c>
      <c r="E26" s="29">
        <f>B26</f>
        <v>70.91095959834074</v>
      </c>
      <c r="F26" s="30">
        <f>E26</f>
        <v>70.91095959834074</v>
      </c>
      <c r="G26" s="31">
        <f t="shared" si="3"/>
        <v>70.91095959834072</v>
      </c>
      <c r="H26" s="32">
        <f>F26+(H9*(B6-B35))</f>
        <v>72.65802437379894</v>
      </c>
      <c r="I26" s="179">
        <f t="shared" si="1"/>
        <v>72.65802437379894</v>
      </c>
      <c r="J26" s="184">
        <f t="shared" si="4"/>
        <v>72.65802437379894</v>
      </c>
    </row>
    <row r="27" spans="1:24" ht="15">
      <c r="A27">
        <v>0.359</v>
      </c>
      <c r="B27" s="3">
        <f t="shared" si="0"/>
        <v>70.9556986763366</v>
      </c>
      <c r="C27" s="17">
        <f>+C26-B26</f>
        <v>0</v>
      </c>
      <c r="D27" s="177"/>
      <c r="E27" s="10">
        <f aca="true" t="shared" si="6" ref="E27:E34">E$6*EXP(E$7*($A27^E$8))</f>
        <v>70.96516270254125</v>
      </c>
      <c r="F27" s="15"/>
      <c r="G27" s="15">
        <f t="shared" si="3"/>
        <v>70.958490570493</v>
      </c>
      <c r="H27" s="22"/>
      <c r="I27" s="175">
        <f aca="true" t="shared" si="7" ref="I27:I34">I$6*EXP(I$7*($A27^I$8))</f>
        <v>72.70962910884842</v>
      </c>
      <c r="J27" s="176">
        <f t="shared" si="4"/>
        <v>72.70467841143875</v>
      </c>
      <c r="K27" s="4"/>
      <c r="L27" s="4"/>
      <c r="M27" s="4"/>
      <c r="N27" s="4"/>
      <c r="O27" s="4">
        <f>EXP(0)</f>
        <v>1</v>
      </c>
      <c r="P27" s="4"/>
      <c r="Q27" s="4"/>
      <c r="R27" s="4"/>
      <c r="S27" s="4"/>
      <c r="T27" s="4"/>
      <c r="U27" s="4"/>
      <c r="V27" s="4"/>
      <c r="W27" s="4"/>
      <c r="X27" s="4"/>
    </row>
    <row r="28" spans="1:24" ht="15">
      <c r="A28">
        <v>0.33</v>
      </c>
      <c r="B28" s="3">
        <f t="shared" si="0"/>
        <v>72.27689370613972</v>
      </c>
      <c r="C28" s="16"/>
      <c r="E28" s="10">
        <f t="shared" si="6"/>
        <v>72.56908386666898</v>
      </c>
      <c r="F28" s="15"/>
      <c r="G28" s="15">
        <f t="shared" si="3"/>
        <v>72.36900280487144</v>
      </c>
      <c r="H28" s="22"/>
      <c r="I28" s="175">
        <f t="shared" si="7"/>
        <v>74.23540869020519</v>
      </c>
      <c r="J28" s="176">
        <f t="shared" si="4"/>
        <v>74.08726525753879</v>
      </c>
      <c r="K28" s="4"/>
      <c r="L28" s="4"/>
      <c r="M28" s="4"/>
      <c r="N28" s="4"/>
      <c r="O28" s="4"/>
      <c r="P28" s="4"/>
      <c r="Q28" s="4"/>
      <c r="R28" s="4"/>
      <c r="S28" s="4"/>
      <c r="T28" s="4"/>
      <c r="U28" s="4"/>
      <c r="V28" s="4"/>
      <c r="W28" s="4"/>
      <c r="X28" s="4"/>
    </row>
    <row r="29" spans="1:24" ht="15">
      <c r="A29">
        <f>A25-0.1</f>
        <v>0.2999999999999998</v>
      </c>
      <c r="B29" s="3">
        <f t="shared" si="0"/>
        <v>73.6949729975465</v>
      </c>
      <c r="C29" s="16"/>
      <c r="E29" s="10">
        <f t="shared" si="6"/>
        <v>74.29753145702718</v>
      </c>
      <c r="F29" s="15"/>
      <c r="G29" s="15">
        <f t="shared" si="3"/>
        <v>73.89845980151239</v>
      </c>
      <c r="H29" s="22"/>
      <c r="I29" s="175">
        <f t="shared" si="7"/>
        <v>75.876978361092</v>
      </c>
      <c r="J29" s="176">
        <f t="shared" si="4"/>
        <v>75.58219016949302</v>
      </c>
      <c r="K29" s="4"/>
      <c r="L29" s="4"/>
      <c r="M29" s="4"/>
      <c r="N29" s="4"/>
      <c r="O29" s="4"/>
      <c r="P29" s="4"/>
      <c r="Q29" s="4"/>
      <c r="R29" s="4"/>
      <c r="S29" s="4"/>
      <c r="T29" s="4"/>
      <c r="U29" s="4"/>
      <c r="V29" s="4"/>
      <c r="W29" s="4"/>
      <c r="X29" s="4"/>
    </row>
    <row r="30" spans="1:24" ht="15">
      <c r="A30">
        <f t="shared" si="5"/>
        <v>0.19999999999999982</v>
      </c>
      <c r="B30" s="3">
        <f t="shared" si="0"/>
        <v>78.87540503646032</v>
      </c>
      <c r="C30" s="16"/>
      <c r="E30" s="10">
        <f t="shared" si="6"/>
        <v>80.67090111798102</v>
      </c>
      <c r="F30" s="15"/>
      <c r="G30" s="15">
        <f t="shared" si="3"/>
        <v>79.64424828823888</v>
      </c>
      <c r="H30" s="22"/>
      <c r="I30" s="175">
        <f t="shared" si="7"/>
        <v>81.90714840899909</v>
      </c>
      <c r="J30" s="176">
        <f t="shared" si="4"/>
        <v>81.15574852389513</v>
      </c>
      <c r="K30" s="4"/>
      <c r="L30" s="4"/>
      <c r="M30" s="4"/>
      <c r="N30" s="4"/>
      <c r="O30" s="4"/>
      <c r="P30" s="4"/>
      <c r="Q30" s="4"/>
      <c r="R30" s="4"/>
      <c r="S30" s="4"/>
      <c r="T30" s="4"/>
      <c r="U30" s="4"/>
      <c r="V30" s="4"/>
      <c r="W30" s="4"/>
      <c r="X30" s="4"/>
    </row>
    <row r="31" spans="1:24" ht="15">
      <c r="A31">
        <f t="shared" si="5"/>
        <v>0.09999999999999981</v>
      </c>
      <c r="B31" s="3">
        <f t="shared" si="0"/>
        <v>85.05836311581335</v>
      </c>
      <c r="C31" s="16"/>
      <c r="E31" s="10">
        <f t="shared" si="6"/>
        <v>88.39402969989871</v>
      </c>
      <c r="F31" s="15"/>
      <c r="G31" s="15">
        <f t="shared" si="3"/>
        <v>86.93906963559202</v>
      </c>
      <c r="H31" s="22"/>
      <c r="I31" s="175">
        <f t="shared" si="7"/>
        <v>89.16952449320381</v>
      </c>
      <c r="J31" s="176">
        <f t="shared" si="4"/>
        <v>88.11907392965566</v>
      </c>
      <c r="K31" s="4"/>
      <c r="L31" s="4"/>
      <c r="M31" s="4"/>
      <c r="N31" s="4"/>
      <c r="O31" s="4"/>
      <c r="P31" s="4"/>
      <c r="Q31" s="4"/>
      <c r="R31" s="4"/>
      <c r="S31" s="4"/>
      <c r="T31" s="4"/>
      <c r="U31" s="4"/>
      <c r="V31" s="4"/>
      <c r="W31" s="4"/>
      <c r="X31" s="4"/>
    </row>
    <row r="32" spans="1:24" ht="15">
      <c r="A32">
        <v>0.075</v>
      </c>
      <c r="B32" s="3">
        <f t="shared" si="0"/>
        <v>86.85782525985326</v>
      </c>
      <c r="C32" s="16"/>
      <c r="E32" s="10">
        <f t="shared" si="6"/>
        <v>90.6645311247477</v>
      </c>
      <c r="F32" s="15"/>
      <c r="G32" s="15">
        <f t="shared" si="3"/>
        <v>89.19136845905001</v>
      </c>
      <c r="H32" s="22"/>
      <c r="I32" s="175">
        <f t="shared" si="7"/>
        <v>91.29585459482301</v>
      </c>
      <c r="J32" s="176">
        <f t="shared" si="4"/>
        <v>90.23763495050903</v>
      </c>
      <c r="K32" s="4"/>
      <c r="L32" s="4"/>
      <c r="M32" s="4"/>
      <c r="N32" s="4"/>
      <c r="O32" s="4"/>
      <c r="P32" s="4"/>
      <c r="Q32" s="4"/>
      <c r="R32" s="4"/>
      <c r="S32" s="4"/>
      <c r="T32" s="4"/>
      <c r="U32" s="4"/>
      <c r="V32" s="4"/>
      <c r="W32" s="4"/>
      <c r="X32" s="4"/>
    </row>
    <row r="33" spans="1:24" ht="15">
      <c r="A33">
        <v>0.05</v>
      </c>
      <c r="B33" s="3">
        <f t="shared" si="0"/>
        <v>88.82629654926123</v>
      </c>
      <c r="C33" s="16"/>
      <c r="E33" s="10">
        <f t="shared" si="6"/>
        <v>93.1596944829084</v>
      </c>
      <c r="F33" s="15"/>
      <c r="G33" s="15">
        <f t="shared" si="3"/>
        <v>91.7530069217571</v>
      </c>
      <c r="H33" s="22"/>
      <c r="I33" s="175">
        <f t="shared" si="7"/>
        <v>93.6282399387172</v>
      </c>
      <c r="J33" s="176">
        <f t="shared" si="4"/>
        <v>92.62451881577269</v>
      </c>
      <c r="K33" s="4"/>
      <c r="L33" s="4"/>
      <c r="M33" s="4"/>
      <c r="N33" s="4"/>
      <c r="O33" s="4"/>
      <c r="P33" s="4"/>
      <c r="Q33" s="4"/>
      <c r="R33" s="4"/>
      <c r="S33" s="4"/>
      <c r="T33" s="4"/>
      <c r="U33" s="4"/>
      <c r="V33" s="4"/>
      <c r="W33" s="4"/>
      <c r="X33" s="4"/>
    </row>
    <row r="34" spans="1:24" ht="15">
      <c r="A34">
        <v>0.025</v>
      </c>
      <c r="B34" s="3">
        <f t="shared" si="0"/>
        <v>91.06540246866471</v>
      </c>
      <c r="C34" s="16"/>
      <c r="E34" s="10">
        <f t="shared" si="6"/>
        <v>96.01214206006196</v>
      </c>
      <c r="F34" s="15"/>
      <c r="G34" s="15">
        <f t="shared" si="3"/>
        <v>94.8447698544658</v>
      </c>
      <c r="H34" s="22"/>
      <c r="I34" s="175">
        <f t="shared" si="7"/>
        <v>96.28919440294993</v>
      </c>
      <c r="J34" s="176">
        <f t="shared" si="4"/>
        <v>95.46499788483435</v>
      </c>
      <c r="K34" s="4"/>
      <c r="L34" s="4"/>
      <c r="M34" s="4"/>
      <c r="N34" s="4"/>
      <c r="O34" s="4"/>
      <c r="P34" s="4"/>
      <c r="Q34" s="4"/>
      <c r="R34" s="4"/>
      <c r="S34" s="4"/>
      <c r="T34" s="4"/>
      <c r="U34" s="4"/>
      <c r="V34" s="4"/>
      <c r="W34" s="4"/>
      <c r="X34" s="4"/>
    </row>
    <row r="35" spans="1:10" ht="15">
      <c r="A35">
        <v>0</v>
      </c>
      <c r="B35" s="3">
        <f t="shared" si="0"/>
        <v>94.17645074847266</v>
      </c>
      <c r="E35" s="10">
        <f>E$6*EXP(E$7*($A35^E$8))</f>
        <v>100</v>
      </c>
      <c r="F35" s="18">
        <f>E35</f>
        <v>100</v>
      </c>
      <c r="G35" s="14">
        <f t="shared" si="3"/>
        <v>100</v>
      </c>
      <c r="H35" s="23">
        <f>F35</f>
        <v>100</v>
      </c>
      <c r="I35" s="175">
        <f>I$6*EXP(I$7*($A35^I$8))</f>
        <v>100</v>
      </c>
      <c r="J35" s="176">
        <f t="shared" si="4"/>
        <v>100</v>
      </c>
    </row>
    <row r="36" ht="15">
      <c r="E36" s="19" t="s">
        <v>499</v>
      </c>
    </row>
    <row r="39" spans="3:4" ht="15">
      <c r="C39" s="171"/>
      <c r="D39" s="171"/>
    </row>
    <row r="40" spans="1:10" ht="15">
      <c r="A40" t="s">
        <v>490</v>
      </c>
      <c r="C40" s="5">
        <f>B8*B7*(1^B8)</f>
        <v>-0.5140157734077605</v>
      </c>
      <c r="D40" s="5"/>
      <c r="G40" t="s">
        <v>520</v>
      </c>
      <c r="I40"/>
      <c r="J40" s="180">
        <f>J8*J7*(1.061^J8)</f>
        <v>-0.5047551582700527</v>
      </c>
    </row>
    <row r="41" spans="1:7" ht="15">
      <c r="A41" t="s">
        <v>521</v>
      </c>
      <c r="G41" t="s">
        <v>522</v>
      </c>
    </row>
    <row r="42" spans="1:3" ht="15">
      <c r="A42" t="s">
        <v>525</v>
      </c>
      <c r="C42" s="5">
        <f>B8*B7*(A26^B8)</f>
        <v>-0.22699612674136532</v>
      </c>
    </row>
    <row r="43" ht="15">
      <c r="A43" t="s">
        <v>521</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4" r:id="rId2"/>
  <drawing r:id="rId1"/>
</worksheet>
</file>

<file path=xl/worksheets/sheet13.xml><?xml version="1.0" encoding="utf-8"?>
<worksheet xmlns="http://schemas.openxmlformats.org/spreadsheetml/2006/main" xmlns:r="http://schemas.openxmlformats.org/officeDocument/2006/relationships">
  <sheetPr codeName="Sheet11">
    <pageSetUpPr fitToPage="1"/>
  </sheetPr>
  <dimension ref="A1:X43"/>
  <sheetViews>
    <sheetView zoomScale="110" zoomScaleNormal="110" zoomScalePageLayoutView="0" workbookViewId="0" topLeftCell="A1">
      <selection activeCell="A17" sqref="A17"/>
    </sheetView>
  </sheetViews>
  <sheetFormatPr defaultColWidth="9.140625" defaultRowHeight="15"/>
  <cols>
    <col min="2" max="2" width="28.140625" style="0" customWidth="1"/>
    <col min="8" max="8" width="11.00390625" style="21" customWidth="1"/>
    <col min="9" max="9" width="11.28125" style="21" customWidth="1"/>
    <col min="10" max="10" width="9.140625" style="37" customWidth="1"/>
  </cols>
  <sheetData>
    <row r="1" spans="1:9" ht="15">
      <c r="A1" t="s">
        <v>523</v>
      </c>
      <c r="C1" s="42">
        <v>0.670929497788343</v>
      </c>
      <c r="I1" s="165" t="s">
        <v>507</v>
      </c>
    </row>
    <row r="2" spans="1:10" ht="15">
      <c r="A2" t="s">
        <v>0</v>
      </c>
      <c r="C2" s="43">
        <f>C40</f>
        <v>-0.6702574912646267</v>
      </c>
      <c r="I2" s="165" t="s">
        <v>508</v>
      </c>
      <c r="J2" s="166" t="s">
        <v>508</v>
      </c>
    </row>
    <row r="3" spans="1:10" ht="15">
      <c r="A3" t="s">
        <v>492</v>
      </c>
      <c r="D3" s="8" t="s">
        <v>492</v>
      </c>
      <c r="G3" s="13" t="s">
        <v>492</v>
      </c>
      <c r="H3" s="21" t="s">
        <v>501</v>
      </c>
      <c r="I3" s="165" t="s">
        <v>509</v>
      </c>
      <c r="J3" s="166" t="s">
        <v>512</v>
      </c>
    </row>
    <row r="4" spans="1:10" ht="15">
      <c r="A4" t="s">
        <v>487</v>
      </c>
      <c r="B4" t="s">
        <v>1</v>
      </c>
      <c r="D4" s="8" t="s">
        <v>487</v>
      </c>
      <c r="G4" s="13" t="s">
        <v>487</v>
      </c>
      <c r="H4" s="21" t="s">
        <v>502</v>
      </c>
      <c r="I4" s="165" t="s">
        <v>510</v>
      </c>
      <c r="J4" s="166" t="s">
        <v>513</v>
      </c>
    </row>
    <row r="5" spans="1:10" ht="15">
      <c r="A5" t="s">
        <v>491</v>
      </c>
      <c r="D5" s="8" t="s">
        <v>497</v>
      </c>
      <c r="G5" s="13" t="s">
        <v>498</v>
      </c>
      <c r="H5" s="21" t="s">
        <v>503</v>
      </c>
      <c r="I5" s="165" t="s">
        <v>511</v>
      </c>
      <c r="J5" s="166" t="s">
        <v>514</v>
      </c>
    </row>
    <row r="6" spans="1:10" ht="15">
      <c r="A6" s="1" t="s">
        <v>485</v>
      </c>
      <c r="B6">
        <v>100</v>
      </c>
      <c r="D6" s="12" t="s">
        <v>485</v>
      </c>
      <c r="E6" s="8">
        <f>B6</f>
        <v>100</v>
      </c>
      <c r="F6" s="8"/>
      <c r="G6" s="13">
        <f>B6</f>
        <v>100</v>
      </c>
      <c r="H6" s="25" t="s">
        <v>515</v>
      </c>
      <c r="I6" s="165">
        <f>B6</f>
        <v>100</v>
      </c>
      <c r="J6" s="166">
        <f>B6</f>
        <v>100</v>
      </c>
    </row>
    <row r="7" spans="1:24" ht="15">
      <c r="A7" s="2" t="s">
        <v>488</v>
      </c>
      <c r="B7" s="26">
        <f>LN(C1)/A26^B8</f>
        <v>-0.7447305458495853</v>
      </c>
      <c r="C7" s="26"/>
      <c r="D7" s="34" t="s">
        <v>488</v>
      </c>
      <c r="E7" s="35">
        <f>+B7-((LN(B6/(B6*B9)))/(A26^B8))</f>
        <v>-1.2361294901633597</v>
      </c>
      <c r="F7" s="8"/>
      <c r="G7" s="36">
        <f>(LN(B9)+B7*(A26^B8))/(A26^G8)</f>
        <v>-1.0115751932567498</v>
      </c>
      <c r="H7" s="25" t="s">
        <v>516</v>
      </c>
      <c r="I7" s="167">
        <f>LN((B26+H9*(B6-(B6*B9)))/B6)/(A26^B8)</f>
        <v>-1.000307501635205</v>
      </c>
      <c r="J7" s="166">
        <f>LN(H26/B6)/(A26^J8)</f>
        <v>-0.8356666825757737</v>
      </c>
      <c r="K7" s="4"/>
      <c r="L7" s="4"/>
      <c r="M7" s="4"/>
      <c r="N7" s="4"/>
      <c r="O7" s="4"/>
      <c r="P7" s="4"/>
      <c r="Q7" s="4"/>
      <c r="R7" s="4"/>
      <c r="S7" s="4"/>
      <c r="T7" s="4"/>
      <c r="U7" s="4"/>
      <c r="V7" s="4"/>
      <c r="W7" s="4"/>
      <c r="X7" s="4"/>
    </row>
    <row r="8" spans="1:24" ht="15">
      <c r="A8" s="168" t="s">
        <v>486</v>
      </c>
      <c r="B8" s="40">
        <v>0.9</v>
      </c>
      <c r="D8" s="12" t="s">
        <v>486</v>
      </c>
      <c r="E8" s="8">
        <f>B8</f>
        <v>0.9</v>
      </c>
      <c r="F8" s="8"/>
      <c r="G8" s="36">
        <f>(LN((LN(B9)+B7*(A18^B8))/(LN(B9)+B7*(A26^B8))))/LN(A18/A26)</f>
        <v>0.6107736835023805</v>
      </c>
      <c r="H8" s="25" t="s">
        <v>517</v>
      </c>
      <c r="I8" s="169">
        <f>B8</f>
        <v>0.9</v>
      </c>
      <c r="J8" s="166">
        <f>(LN(LN(H18/B6)/LN(H26/B6)))/(LN(A18/A26))</f>
        <v>0.6405559600266673</v>
      </c>
      <c r="K8" s="4"/>
      <c r="L8" s="4"/>
      <c r="M8" s="4"/>
      <c r="N8" s="4"/>
      <c r="O8" s="4"/>
      <c r="P8" s="4"/>
      <c r="Q8" s="4"/>
      <c r="R8" s="4"/>
      <c r="S8" s="4"/>
      <c r="T8" s="4"/>
      <c r="U8" s="4"/>
      <c r="V8" s="4"/>
      <c r="W8" s="4"/>
      <c r="X8" s="4"/>
    </row>
    <row r="9" spans="1:24" ht="15">
      <c r="A9" s="1" t="s">
        <v>493</v>
      </c>
      <c r="B9" s="170">
        <v>0.7684850466621529</v>
      </c>
      <c r="C9" s="6" t="s">
        <v>518</v>
      </c>
      <c r="G9" s="13"/>
      <c r="H9" s="33">
        <v>0.3</v>
      </c>
      <c r="I9" s="165"/>
      <c r="J9" s="166"/>
      <c r="K9" s="4"/>
      <c r="L9" s="4"/>
      <c r="M9" s="4"/>
      <c r="N9" s="4"/>
      <c r="O9" s="4"/>
      <c r="P9" s="4"/>
      <c r="Q9" s="4"/>
      <c r="R9" s="4"/>
      <c r="S9" s="4"/>
      <c r="T9" s="4"/>
      <c r="U9" s="4"/>
      <c r="V9" s="4"/>
      <c r="W9" s="4"/>
      <c r="X9" s="4"/>
    </row>
    <row r="10" spans="1:24" ht="15">
      <c r="A10" s="2"/>
      <c r="E10" s="8" t="s">
        <v>519</v>
      </c>
      <c r="F10" s="8"/>
      <c r="G10" s="13"/>
      <c r="I10" s="165" t="s">
        <v>505</v>
      </c>
      <c r="J10" s="166"/>
      <c r="K10" s="4"/>
      <c r="L10" s="4"/>
      <c r="M10" s="4"/>
      <c r="N10" s="4"/>
      <c r="O10" s="4"/>
      <c r="P10" s="4"/>
      <c r="Q10" s="4"/>
      <c r="R10" s="4"/>
      <c r="S10" s="4"/>
      <c r="T10" s="4"/>
      <c r="U10" s="4"/>
      <c r="V10" s="4"/>
      <c r="W10" s="4"/>
      <c r="X10" s="4"/>
    </row>
    <row r="11" spans="1:24" ht="15">
      <c r="A11" s="2"/>
      <c r="B11" s="39"/>
      <c r="E11" s="9"/>
      <c r="F11" s="9"/>
      <c r="G11" s="13" t="s">
        <v>500</v>
      </c>
      <c r="H11" s="24" t="s">
        <v>504</v>
      </c>
      <c r="I11" s="165" t="s">
        <v>506</v>
      </c>
      <c r="J11" s="166"/>
      <c r="K11" s="4"/>
      <c r="L11" s="4"/>
      <c r="M11" s="4"/>
      <c r="N11" s="4"/>
      <c r="O11" s="4"/>
      <c r="P11" s="4"/>
      <c r="Q11" s="4"/>
      <c r="R11" s="4"/>
      <c r="S11" s="4"/>
      <c r="T11" s="4"/>
      <c r="U11" s="4"/>
      <c r="V11" s="4"/>
      <c r="W11" s="4"/>
      <c r="X11" s="4"/>
    </row>
    <row r="12" spans="1:24" ht="15">
      <c r="A12" t="s">
        <v>2</v>
      </c>
      <c r="B12" s="171"/>
      <c r="C12" t="s">
        <v>494</v>
      </c>
      <c r="D12" s="8"/>
      <c r="E12" s="172"/>
      <c r="F12" s="13" t="s">
        <v>489</v>
      </c>
      <c r="G12" s="20" t="s">
        <v>499</v>
      </c>
      <c r="H12" s="24" t="s">
        <v>489</v>
      </c>
      <c r="I12" s="173" t="s">
        <v>487</v>
      </c>
      <c r="J12" s="166"/>
      <c r="K12" s="4"/>
      <c r="L12" s="4"/>
      <c r="M12" s="4"/>
      <c r="N12" s="4"/>
      <c r="O12" s="4"/>
      <c r="P12" s="4"/>
      <c r="Q12" s="4"/>
      <c r="R12" s="4"/>
      <c r="S12" s="4"/>
      <c r="T12" s="4"/>
      <c r="U12" s="4"/>
      <c r="V12" s="4"/>
      <c r="W12" s="4"/>
      <c r="X12" s="4"/>
    </row>
    <row r="13" spans="1:24" ht="15">
      <c r="A13">
        <v>1.5</v>
      </c>
      <c r="B13" s="3">
        <f aca="true" t="shared" si="0" ref="B13:B30">B$9*B$6*EXP(B$7*($A13^B$8))</f>
        <v>26.28842039905435</v>
      </c>
      <c r="D13" s="174" t="s">
        <v>495</v>
      </c>
      <c r="E13" s="10">
        <f>B13</f>
        <v>26.28842039905435</v>
      </c>
      <c r="F13" s="14"/>
      <c r="G13" s="15">
        <f>G$6*EXP(G$7*($A13^G$8))</f>
        <v>27.366895156956613</v>
      </c>
      <c r="H13" s="22"/>
      <c r="I13" s="175">
        <f aca="true" t="shared" si="1" ref="I13:I26">B13+$H$26-$F$26</f>
        <v>33.23386899918976</v>
      </c>
      <c r="J13" s="176">
        <f>J$6*EXP(J$7*($A13^J$8))</f>
        <v>33.840861588835814</v>
      </c>
      <c r="K13" s="4"/>
      <c r="L13" s="4"/>
      <c r="M13" s="4"/>
      <c r="N13" s="4"/>
      <c r="O13" s="4"/>
      <c r="P13" s="4"/>
      <c r="Q13" s="4"/>
      <c r="R13" s="4"/>
      <c r="S13" s="4"/>
      <c r="T13" s="4"/>
      <c r="U13" s="4"/>
      <c r="V13" s="4"/>
      <c r="W13" s="4"/>
      <c r="X13" s="4"/>
    </row>
    <row r="14" spans="1:24" ht="15">
      <c r="A14">
        <f>A13-0.1</f>
        <v>1.4</v>
      </c>
      <c r="B14" s="3">
        <f t="shared" si="0"/>
        <v>28.04221288968639</v>
      </c>
      <c r="D14" s="174" t="s">
        <v>495</v>
      </c>
      <c r="E14" s="10">
        <f aca="true" t="shared" si="2" ref="E14:E23">B14</f>
        <v>28.04221288968639</v>
      </c>
      <c r="F14" s="14"/>
      <c r="G14" s="15">
        <f aca="true" t="shared" si="3" ref="G14:G35">G$6*EXP(G$7*($A14^G$8))</f>
        <v>28.87005327045579</v>
      </c>
      <c r="H14" s="22"/>
      <c r="I14" s="175">
        <f t="shared" si="1"/>
        <v>34.9876614898218</v>
      </c>
      <c r="J14" s="176">
        <f aca="true" t="shared" si="4" ref="J14:J35">J$6*EXP(J$7*($A14^J$8))</f>
        <v>35.463725331245975</v>
      </c>
      <c r="K14" s="4"/>
      <c r="L14" s="4"/>
      <c r="M14" s="4"/>
      <c r="N14" s="4"/>
      <c r="O14" s="4"/>
      <c r="P14" s="4"/>
      <c r="Q14" s="4"/>
      <c r="R14" s="4"/>
      <c r="S14" s="4"/>
      <c r="T14" s="4"/>
      <c r="U14" s="4"/>
      <c r="V14" s="4"/>
      <c r="W14" s="4"/>
      <c r="X14" s="4"/>
    </row>
    <row r="15" spans="1:24" ht="15">
      <c r="A15">
        <f aca="true" t="shared" si="5" ref="A15:A31">A14-0.1</f>
        <v>1.2999999999999998</v>
      </c>
      <c r="B15" s="3">
        <f t="shared" si="0"/>
        <v>29.9268710203127</v>
      </c>
      <c r="D15" s="174" t="s">
        <v>495</v>
      </c>
      <c r="E15" s="10">
        <f t="shared" si="2"/>
        <v>29.9268710203127</v>
      </c>
      <c r="F15" s="14"/>
      <c r="G15" s="15">
        <f t="shared" si="3"/>
        <v>30.501766580145613</v>
      </c>
      <c r="H15" s="22"/>
      <c r="I15" s="175">
        <f t="shared" si="1"/>
        <v>36.87231962044812</v>
      </c>
      <c r="J15" s="176">
        <f t="shared" si="4"/>
        <v>37.20976228506099</v>
      </c>
      <c r="K15" s="4"/>
      <c r="L15" s="4"/>
      <c r="M15" s="4"/>
      <c r="N15" s="4"/>
      <c r="O15" s="4"/>
      <c r="P15" s="4"/>
      <c r="Q15" s="4"/>
      <c r="R15" s="4"/>
      <c r="S15" s="4"/>
      <c r="T15" s="4"/>
      <c r="U15" s="4"/>
      <c r="V15" s="4"/>
      <c r="W15" s="4"/>
      <c r="X15" s="4"/>
    </row>
    <row r="16" spans="1:24" ht="15">
      <c r="A16">
        <f t="shared" si="5"/>
        <v>1.1999999999999997</v>
      </c>
      <c r="B16" s="3">
        <f t="shared" si="0"/>
        <v>31.954255781564417</v>
      </c>
      <c r="D16" s="174" t="s">
        <v>495</v>
      </c>
      <c r="E16" s="10">
        <f t="shared" si="2"/>
        <v>31.954255781564417</v>
      </c>
      <c r="F16" s="14"/>
      <c r="G16" s="15">
        <f t="shared" si="3"/>
        <v>32.2796622927857</v>
      </c>
      <c r="H16" s="22"/>
      <c r="I16" s="175">
        <f t="shared" si="1"/>
        <v>38.89970438169983</v>
      </c>
      <c r="J16" s="176">
        <f t="shared" si="4"/>
        <v>39.09446706996235</v>
      </c>
      <c r="K16" s="4"/>
      <c r="L16" s="4"/>
      <c r="M16" s="4"/>
      <c r="N16" s="4"/>
      <c r="O16" s="4"/>
      <c r="P16" s="4"/>
      <c r="Q16" s="4"/>
      <c r="R16" s="4"/>
      <c r="S16" s="4"/>
      <c r="T16" s="4"/>
      <c r="U16" s="4"/>
      <c r="V16" s="4"/>
      <c r="W16" s="4"/>
      <c r="X16" s="4"/>
    </row>
    <row r="17" spans="1:24" ht="15">
      <c r="A17">
        <f t="shared" si="5"/>
        <v>1.0999999999999996</v>
      </c>
      <c r="B17" s="3">
        <f t="shared" si="0"/>
        <v>34.13772799011199</v>
      </c>
      <c r="D17" s="174" t="s">
        <v>495</v>
      </c>
      <c r="E17" s="10">
        <f t="shared" si="2"/>
        <v>34.13772799011199</v>
      </c>
      <c r="F17" s="14"/>
      <c r="G17" s="15">
        <f t="shared" si="3"/>
        <v>34.2251406964803</v>
      </c>
      <c r="H17" s="22"/>
      <c r="I17" s="175">
        <f t="shared" si="1"/>
        <v>41.08317659024741</v>
      </c>
      <c r="J17" s="176">
        <f t="shared" si="4"/>
        <v>41.1364762606147</v>
      </c>
      <c r="K17" s="4"/>
      <c r="L17" s="4"/>
      <c r="M17" s="4"/>
      <c r="N17" s="4"/>
      <c r="O17" s="4"/>
      <c r="P17" s="4"/>
      <c r="Q17" s="4"/>
      <c r="R17" s="4"/>
      <c r="S17" s="4"/>
      <c r="T17" s="4"/>
      <c r="U17" s="4"/>
      <c r="V17" s="4"/>
      <c r="W17" s="4"/>
      <c r="X17" s="4"/>
    </row>
    <row r="18" spans="1:24" ht="15">
      <c r="A18" s="16">
        <v>1.061</v>
      </c>
      <c r="B18" s="7">
        <f t="shared" si="0"/>
        <v>35.034796645634096</v>
      </c>
      <c r="D18" s="177" t="s">
        <v>495</v>
      </c>
      <c r="E18" s="11">
        <f>B18</f>
        <v>35.034796645634096</v>
      </c>
      <c r="F18" s="18">
        <f>E18</f>
        <v>35.034796645634096</v>
      </c>
      <c r="G18" s="14">
        <f t="shared" si="3"/>
        <v>35.03479664563409</v>
      </c>
      <c r="H18" s="23">
        <f>F18+H26-F26</f>
        <v>41.98024524576952</v>
      </c>
      <c r="I18" s="175">
        <f t="shared" si="1"/>
        <v>41.98024524576952</v>
      </c>
      <c r="J18" s="176">
        <f t="shared" si="4"/>
        <v>41.98024524576952</v>
      </c>
      <c r="K18" s="4"/>
      <c r="L18" s="4"/>
      <c r="M18" s="4"/>
      <c r="N18" s="4"/>
      <c r="O18" s="4"/>
      <c r="P18" s="4"/>
      <c r="Q18" s="4"/>
      <c r="R18" s="4"/>
      <c r="S18" s="4"/>
      <c r="T18" s="4"/>
      <c r="U18" s="4"/>
      <c r="V18" s="4"/>
      <c r="W18" s="4"/>
      <c r="X18" s="4"/>
    </row>
    <row r="19" spans="1:24" ht="15">
      <c r="A19">
        <f>A17-0.1</f>
        <v>0.9999999999999997</v>
      </c>
      <c r="B19" s="3">
        <f t="shared" si="0"/>
        <v>36.492452782347705</v>
      </c>
      <c r="C19" s="16"/>
      <c r="D19" s="174" t="s">
        <v>495</v>
      </c>
      <c r="E19" s="10">
        <f t="shared" si="2"/>
        <v>36.492452782347705</v>
      </c>
      <c r="F19" s="14"/>
      <c r="G19" s="15">
        <f t="shared" si="3"/>
        <v>36.364571590998246</v>
      </c>
      <c r="H19" s="22"/>
      <c r="I19" s="175">
        <f t="shared" si="1"/>
        <v>43.437901382483126</v>
      </c>
      <c r="J19" s="176">
        <f t="shared" si="4"/>
        <v>43.358532127587615</v>
      </c>
      <c r="K19" s="4"/>
      <c r="L19" s="4"/>
      <c r="M19" s="4"/>
      <c r="N19" s="4"/>
      <c r="O19" s="4"/>
      <c r="P19" s="4"/>
      <c r="Q19" s="4"/>
      <c r="R19" s="4"/>
      <c r="S19" s="4"/>
      <c r="T19" s="4"/>
      <c r="U19" s="4"/>
      <c r="V19" s="4"/>
      <c r="W19" s="4"/>
      <c r="X19" s="4"/>
    </row>
    <row r="20" spans="1:24" ht="15">
      <c r="A20">
        <f t="shared" si="5"/>
        <v>0.8999999999999997</v>
      </c>
      <c r="B20" s="3">
        <f t="shared" si="0"/>
        <v>39.03580571197621</v>
      </c>
      <c r="C20" s="16"/>
      <c r="D20" s="174" t="s">
        <v>495</v>
      </c>
      <c r="E20" s="10">
        <f t="shared" si="2"/>
        <v>39.03580571197621</v>
      </c>
      <c r="F20" s="14"/>
      <c r="G20" s="15">
        <f t="shared" si="3"/>
        <v>38.73102652163774</v>
      </c>
      <c r="H20" s="22"/>
      <c r="I20" s="175">
        <f t="shared" si="1"/>
        <v>45.98125431211162</v>
      </c>
      <c r="J20" s="176">
        <f t="shared" si="4"/>
        <v>45.78886866989988</v>
      </c>
      <c r="K20" s="4"/>
      <c r="L20" s="4"/>
      <c r="M20" s="4"/>
      <c r="N20" s="4"/>
      <c r="O20" s="4"/>
      <c r="P20" s="4"/>
      <c r="Q20" s="4"/>
      <c r="R20" s="4"/>
      <c r="S20" s="4"/>
      <c r="T20" s="4"/>
      <c r="U20" s="4"/>
      <c r="V20" s="4"/>
      <c r="W20" s="4"/>
      <c r="X20" s="4"/>
    </row>
    <row r="21" spans="1:24" ht="15">
      <c r="A21">
        <f t="shared" si="5"/>
        <v>0.7999999999999997</v>
      </c>
      <c r="B21" s="3">
        <f t="shared" si="0"/>
        <v>41.78793204165261</v>
      </c>
      <c r="C21" s="16"/>
      <c r="D21" s="174" t="s">
        <v>495</v>
      </c>
      <c r="E21" s="10">
        <f t="shared" si="2"/>
        <v>41.78793204165261</v>
      </c>
      <c r="F21" s="14"/>
      <c r="G21" s="15">
        <f t="shared" si="3"/>
        <v>41.36687471252337</v>
      </c>
      <c r="H21" s="22"/>
      <c r="I21" s="175">
        <f t="shared" si="1"/>
        <v>48.733380641788024</v>
      </c>
      <c r="J21" s="176">
        <f t="shared" si="4"/>
        <v>48.46327435826902</v>
      </c>
      <c r="K21" s="4"/>
      <c r="L21" s="4"/>
      <c r="M21" s="4"/>
      <c r="N21" s="4"/>
      <c r="O21" s="4"/>
      <c r="P21" s="4"/>
      <c r="Q21" s="4"/>
      <c r="R21" s="4"/>
      <c r="S21" s="4"/>
      <c r="T21" s="4"/>
      <c r="U21" s="4"/>
      <c r="V21" s="4"/>
      <c r="W21" s="4"/>
      <c r="X21" s="4"/>
    </row>
    <row r="22" spans="1:24" ht="15">
      <c r="A22">
        <f t="shared" si="5"/>
        <v>0.6999999999999997</v>
      </c>
      <c r="B22" s="3">
        <f t="shared" si="0"/>
        <v>44.772547960051035</v>
      </c>
      <c r="C22" s="16"/>
      <c r="D22" s="174" t="s">
        <v>495</v>
      </c>
      <c r="E22" s="10">
        <f t="shared" si="2"/>
        <v>44.772547960051035</v>
      </c>
      <c r="F22" s="14"/>
      <c r="G22" s="15">
        <f t="shared" si="3"/>
        <v>44.32783975790046</v>
      </c>
      <c r="H22" s="22"/>
      <c r="I22" s="175">
        <f t="shared" si="1"/>
        <v>51.71799656018644</v>
      </c>
      <c r="J22" s="176">
        <f t="shared" si="4"/>
        <v>51.42829232957311</v>
      </c>
      <c r="K22" s="4"/>
      <c r="L22" s="4"/>
      <c r="M22" s="4"/>
      <c r="N22" s="4"/>
      <c r="O22" s="4"/>
      <c r="P22" s="4"/>
      <c r="Q22" s="4"/>
      <c r="R22" s="4"/>
      <c r="S22" s="4"/>
      <c r="T22" s="4"/>
      <c r="U22" s="4"/>
      <c r="V22" s="4"/>
      <c r="W22" s="4"/>
      <c r="X22" s="4"/>
    </row>
    <row r="23" spans="1:24" ht="15">
      <c r="A23">
        <v>0.65</v>
      </c>
      <c r="B23" s="3">
        <f t="shared" si="0"/>
        <v>46.36071130122593</v>
      </c>
      <c r="C23" s="16"/>
      <c r="D23" s="174" t="s">
        <v>495</v>
      </c>
      <c r="E23" s="10">
        <f t="shared" si="2"/>
        <v>46.36071130122593</v>
      </c>
      <c r="F23" s="14"/>
      <c r="G23" s="15">
        <f t="shared" si="3"/>
        <v>45.952863456060214</v>
      </c>
      <c r="H23" s="22"/>
      <c r="I23" s="175">
        <f t="shared" si="1"/>
        <v>53.30615990136135</v>
      </c>
      <c r="J23" s="176">
        <f t="shared" si="4"/>
        <v>53.0384865488801</v>
      </c>
      <c r="K23" s="4"/>
      <c r="L23" s="4"/>
      <c r="M23" s="4"/>
      <c r="N23" s="4"/>
      <c r="O23" s="4"/>
      <c r="P23" s="4"/>
      <c r="Q23" s="4"/>
      <c r="R23" s="4"/>
      <c r="S23" s="4"/>
      <c r="T23" s="4"/>
      <c r="U23" s="4"/>
      <c r="V23" s="4"/>
      <c r="W23" s="4"/>
      <c r="X23" s="4"/>
    </row>
    <row r="24" spans="1:24" ht="15">
      <c r="A24">
        <v>0.6</v>
      </c>
      <c r="B24" s="3">
        <f t="shared" si="0"/>
        <v>48.01814625288956</v>
      </c>
      <c r="C24" s="16"/>
      <c r="D24" s="174" t="s">
        <v>495</v>
      </c>
      <c r="E24" s="10">
        <f>B24</f>
        <v>48.01814625288956</v>
      </c>
      <c r="F24" s="14"/>
      <c r="G24" s="15">
        <f t="shared" si="3"/>
        <v>47.68967784029338</v>
      </c>
      <c r="H24" s="22"/>
      <c r="I24" s="175">
        <f t="shared" si="1"/>
        <v>54.96359485302498</v>
      </c>
      <c r="J24" s="176">
        <f t="shared" si="4"/>
        <v>54.74644860297008</v>
      </c>
      <c r="K24" s="4"/>
      <c r="L24" s="4"/>
      <c r="M24" s="4"/>
      <c r="N24" s="4"/>
      <c r="O24" s="4"/>
      <c r="P24" s="4"/>
      <c r="Q24" s="4"/>
      <c r="R24" s="4"/>
      <c r="S24" s="4"/>
      <c r="T24" s="4"/>
      <c r="U24" s="4"/>
      <c r="V24" s="4"/>
      <c r="W24" s="4"/>
      <c r="X24" s="4"/>
    </row>
    <row r="25" spans="1:24" ht="15">
      <c r="A25">
        <v>0.55</v>
      </c>
      <c r="B25" s="3">
        <f t="shared" si="0"/>
        <v>49.74947526725616</v>
      </c>
      <c r="C25" s="16"/>
      <c r="D25" s="174" t="s">
        <v>495</v>
      </c>
      <c r="E25" s="10">
        <f>B25</f>
        <v>49.74947526725616</v>
      </c>
      <c r="F25" s="14"/>
      <c r="G25" s="15">
        <f t="shared" si="3"/>
        <v>49.55278980014135</v>
      </c>
      <c r="H25" s="22"/>
      <c r="I25" s="175">
        <f t="shared" si="1"/>
        <v>56.69492386739157</v>
      </c>
      <c r="J25" s="176">
        <f t="shared" si="4"/>
        <v>56.56397306881844</v>
      </c>
      <c r="K25" s="4"/>
      <c r="L25" s="4"/>
      <c r="M25" s="4"/>
      <c r="N25" s="4"/>
      <c r="O25" s="4"/>
      <c r="P25" s="4"/>
      <c r="Q25" s="4"/>
      <c r="R25" s="4"/>
      <c r="S25" s="4"/>
      <c r="T25" s="4"/>
      <c r="U25" s="4"/>
      <c r="V25" s="4"/>
      <c r="W25" s="4"/>
      <c r="X25" s="4"/>
    </row>
    <row r="26" spans="1:11" s="27" customFormat="1" ht="15">
      <c r="A26" s="27">
        <v>0.5</v>
      </c>
      <c r="B26" s="182">
        <f t="shared" si="0"/>
        <v>51.55992864148896</v>
      </c>
      <c r="C26" s="28">
        <f>$B$9*B6*C1</f>
        <v>51.55992864148896</v>
      </c>
      <c r="D26" s="178" t="s">
        <v>495</v>
      </c>
      <c r="E26" s="29">
        <f>B26</f>
        <v>51.55992864148896</v>
      </c>
      <c r="F26" s="30">
        <f>E26</f>
        <v>51.55992864148896</v>
      </c>
      <c r="G26" s="31">
        <f t="shared" si="3"/>
        <v>51.55992864148896</v>
      </c>
      <c r="H26" s="32">
        <f>F26+(H9*(B6-B35))</f>
        <v>58.50537724162437</v>
      </c>
      <c r="I26" s="179">
        <f t="shared" si="1"/>
        <v>58.505377241624366</v>
      </c>
      <c r="J26" s="176">
        <f t="shared" si="4"/>
        <v>58.505377241624366</v>
      </c>
      <c r="K26" s="4"/>
    </row>
    <row r="27" spans="1:24" ht="15">
      <c r="A27">
        <v>0.499</v>
      </c>
      <c r="B27" s="3">
        <f t="shared" si="0"/>
        <v>51.59698446410339</v>
      </c>
      <c r="C27" s="17">
        <f>+C26-B26</f>
        <v>0</v>
      </c>
      <c r="D27" s="177"/>
      <c r="E27" s="10">
        <f aca="true" t="shared" si="6" ref="E27:E34">E$6*EXP(E$7*($A27^E$8))</f>
        <v>51.62144975873322</v>
      </c>
      <c r="F27" s="15"/>
      <c r="G27" s="15">
        <f t="shared" si="3"/>
        <v>51.60168326248089</v>
      </c>
      <c r="H27" s="22"/>
      <c r="I27" s="175">
        <f aca="true" t="shared" si="7" ref="I27:I34">I$6*EXP(I$7*($A27^I$8))</f>
        <v>58.561861553139025</v>
      </c>
      <c r="J27" s="176">
        <f t="shared" si="4"/>
        <v>58.54558360470142</v>
      </c>
      <c r="K27" s="4"/>
      <c r="L27" s="4"/>
      <c r="M27" s="4"/>
      <c r="N27" s="4"/>
      <c r="O27" s="4">
        <f>EXP(0)</f>
        <v>1</v>
      </c>
      <c r="P27" s="4"/>
      <c r="Q27" s="4"/>
      <c r="R27" s="4"/>
      <c r="S27" s="4"/>
      <c r="T27" s="4"/>
      <c r="U27" s="4"/>
      <c r="V27" s="4"/>
      <c r="W27" s="4"/>
      <c r="X27" s="4"/>
    </row>
    <row r="28" spans="1:24" ht="15">
      <c r="A28">
        <v>0.4</v>
      </c>
      <c r="B28" s="3">
        <f t="shared" si="0"/>
        <v>55.443172912225116</v>
      </c>
      <c r="C28" s="16"/>
      <c r="E28" s="10">
        <f t="shared" si="6"/>
        <v>58.164294653061354</v>
      </c>
      <c r="F28" s="15"/>
      <c r="G28" s="15">
        <f t="shared" si="3"/>
        <v>56.10050618909622</v>
      </c>
      <c r="H28" s="22"/>
      <c r="I28" s="175">
        <f t="shared" si="7"/>
        <v>64.4991529950177</v>
      </c>
      <c r="J28" s="176">
        <f t="shared" si="4"/>
        <v>62.835209900104175</v>
      </c>
      <c r="K28" s="4"/>
      <c r="L28" s="4"/>
      <c r="M28" s="4"/>
      <c r="N28" s="4"/>
      <c r="O28" s="4"/>
      <c r="P28" s="4"/>
      <c r="Q28" s="4"/>
      <c r="R28" s="4"/>
      <c r="S28" s="4"/>
      <c r="T28" s="4"/>
      <c r="U28" s="4"/>
      <c r="V28" s="4"/>
      <c r="W28" s="4"/>
      <c r="X28" s="4"/>
    </row>
    <row r="29" spans="1:24" ht="15">
      <c r="A29">
        <f>A25-0.1</f>
        <v>0.45000000000000007</v>
      </c>
      <c r="B29" s="3">
        <f t="shared" si="0"/>
        <v>53.45550087598127</v>
      </c>
      <c r="C29" s="16"/>
      <c r="E29" s="10">
        <f t="shared" si="6"/>
        <v>54.74427039076676</v>
      </c>
      <c r="F29" s="15"/>
      <c r="G29" s="15">
        <f t="shared" si="3"/>
        <v>53.7331528381048</v>
      </c>
      <c r="H29" s="22"/>
      <c r="I29" s="175">
        <f t="shared" si="7"/>
        <v>61.412528927583296</v>
      </c>
      <c r="J29" s="176">
        <f t="shared" si="4"/>
        <v>60.58834905766629</v>
      </c>
      <c r="K29" s="4"/>
      <c r="L29" s="4"/>
      <c r="M29" s="4"/>
      <c r="N29" s="4"/>
      <c r="O29" s="4"/>
      <c r="P29" s="4"/>
      <c r="Q29" s="4"/>
      <c r="R29" s="4"/>
      <c r="S29" s="4"/>
      <c r="T29" s="4"/>
      <c r="U29" s="4"/>
      <c r="V29" s="4"/>
      <c r="W29" s="4"/>
      <c r="X29" s="4"/>
    </row>
    <row r="30" spans="1:24" ht="15">
      <c r="A30">
        <f t="shared" si="5"/>
        <v>0.3500000000000001</v>
      </c>
      <c r="B30" s="3">
        <f t="shared" si="0"/>
        <v>57.531240882670325</v>
      </c>
      <c r="C30" s="16"/>
      <c r="E30" s="10">
        <f t="shared" si="6"/>
        <v>61.845230657963626</v>
      </c>
      <c r="F30" s="15"/>
      <c r="G30" s="15">
        <f t="shared" si="3"/>
        <v>58.698602937759084</v>
      </c>
      <c r="H30" s="22"/>
      <c r="I30" s="175">
        <f t="shared" si="7"/>
        <v>67.78282528325205</v>
      </c>
      <c r="J30" s="176">
        <f t="shared" si="4"/>
        <v>65.27487578885874</v>
      </c>
      <c r="K30" s="4"/>
      <c r="L30" s="4"/>
      <c r="M30" s="4"/>
      <c r="N30" s="4"/>
      <c r="O30" s="4"/>
      <c r="P30" s="4"/>
      <c r="Q30" s="4"/>
      <c r="R30" s="4"/>
      <c r="S30" s="4"/>
      <c r="T30" s="4"/>
      <c r="U30" s="4"/>
      <c r="V30" s="4"/>
      <c r="W30" s="4"/>
      <c r="X30" s="4"/>
    </row>
    <row r="31" spans="1:24" ht="15">
      <c r="A31">
        <f t="shared" si="5"/>
        <v>0.2500000000000001</v>
      </c>
      <c r="B31" s="3">
        <f>B$9*B$6*EXP(B$7*($A31^B$8))</f>
        <v>62.05172576400813</v>
      </c>
      <c r="C31" s="16"/>
      <c r="E31" s="10">
        <f t="shared" si="6"/>
        <v>70.118397633023</v>
      </c>
      <c r="F31" s="15"/>
      <c r="G31" s="15">
        <f t="shared" si="3"/>
        <v>64.80507678307778</v>
      </c>
      <c r="H31" s="22"/>
      <c r="I31" s="175">
        <f t="shared" si="7"/>
        <v>75.03144486854006</v>
      </c>
      <c r="J31" s="176">
        <f t="shared" si="4"/>
        <v>70.90291321439838</v>
      </c>
      <c r="K31" s="4"/>
      <c r="L31" s="4"/>
      <c r="M31" s="4"/>
      <c r="N31" s="4"/>
      <c r="O31" s="4"/>
      <c r="P31" s="4"/>
      <c r="Q31" s="4"/>
      <c r="R31" s="4"/>
      <c r="S31" s="4"/>
      <c r="T31" s="4"/>
      <c r="U31" s="4"/>
      <c r="V31" s="4"/>
      <c r="W31" s="4"/>
      <c r="X31" s="4"/>
    </row>
    <row r="32" spans="1:24" ht="15">
      <c r="A32">
        <v>0.075</v>
      </c>
      <c r="B32" s="3">
        <f>B$9*B$6*EXP(B$7*($A32^B$8))</f>
        <v>71.48350496095358</v>
      </c>
      <c r="C32" s="16"/>
      <c r="E32" s="10">
        <f t="shared" si="6"/>
        <v>88.68130852460379</v>
      </c>
      <c r="F32" s="15"/>
      <c r="G32" s="15">
        <f t="shared" si="3"/>
        <v>81.22646549528507</v>
      </c>
      <c r="H32" s="22"/>
      <c r="I32" s="175">
        <f t="shared" si="7"/>
        <v>90.73699644040558</v>
      </c>
      <c r="J32" s="176">
        <f t="shared" si="4"/>
        <v>85.29808214790876</v>
      </c>
      <c r="K32" s="4"/>
      <c r="L32" s="4"/>
      <c r="M32" s="4"/>
      <c r="N32" s="4"/>
      <c r="O32" s="4"/>
      <c r="P32" s="4"/>
      <c r="Q32" s="4"/>
      <c r="R32" s="4"/>
      <c r="S32" s="4"/>
      <c r="T32" s="4"/>
      <c r="U32" s="4"/>
      <c r="V32" s="4"/>
      <c r="W32" s="4"/>
      <c r="X32" s="4"/>
    </row>
    <row r="33" spans="1:24" ht="15">
      <c r="A33">
        <v>0.05</v>
      </c>
      <c r="B33" s="3">
        <f>B$9*B$6*EXP(B$7*($A33^B$8))</f>
        <v>73.08282626862415</v>
      </c>
      <c r="C33" s="16"/>
      <c r="E33" s="10">
        <f t="shared" si="6"/>
        <v>91.99882176446546</v>
      </c>
      <c r="F33" s="15"/>
      <c r="G33" s="15">
        <f t="shared" si="3"/>
        <v>85.01718860143492</v>
      </c>
      <c r="H33" s="22"/>
      <c r="I33" s="175">
        <f t="shared" si="7"/>
        <v>93.4741846591879</v>
      </c>
      <c r="J33" s="176">
        <f t="shared" si="4"/>
        <v>88.45774515140094</v>
      </c>
      <c r="K33" s="4"/>
      <c r="L33" s="4"/>
      <c r="M33" s="4"/>
      <c r="N33" s="4"/>
      <c r="O33" s="4"/>
      <c r="P33" s="4"/>
      <c r="Q33" s="4"/>
      <c r="R33" s="4"/>
      <c r="S33" s="4"/>
      <c r="T33" s="4"/>
      <c r="U33" s="4"/>
      <c r="V33" s="4"/>
      <c r="W33" s="4"/>
      <c r="X33" s="4"/>
    </row>
    <row r="34" spans="1:24" ht="15">
      <c r="A34">
        <v>0.025</v>
      </c>
      <c r="B34" s="3">
        <f>B$9*B$6*EXP(B$7*($A34^B$8))</f>
        <v>74.80701509109983</v>
      </c>
      <c r="C34" s="16"/>
      <c r="E34" s="10">
        <f t="shared" si="6"/>
        <v>95.62939243282992</v>
      </c>
      <c r="F34" s="15"/>
      <c r="G34" s="15">
        <f t="shared" si="3"/>
        <v>89.91617221842539</v>
      </c>
      <c r="H34" s="22"/>
      <c r="I34" s="175">
        <f t="shared" si="7"/>
        <v>96.44818586463599</v>
      </c>
      <c r="J34" s="176">
        <f t="shared" si="4"/>
        <v>92.43424194806785</v>
      </c>
      <c r="K34" s="4"/>
      <c r="L34" s="4"/>
      <c r="M34" s="4"/>
      <c r="N34" s="4"/>
      <c r="O34" s="4"/>
      <c r="P34" s="4"/>
      <c r="Q34" s="4"/>
      <c r="R34" s="4"/>
      <c r="S34" s="4"/>
      <c r="T34" s="4"/>
      <c r="U34" s="4"/>
      <c r="V34" s="4"/>
      <c r="W34" s="4"/>
      <c r="X34" s="4"/>
    </row>
    <row r="35" spans="1:10" ht="15">
      <c r="A35">
        <v>0</v>
      </c>
      <c r="B35" s="3">
        <f>B$9*B$6*EXP(B$7*($A35^B$8))</f>
        <v>76.84850466621529</v>
      </c>
      <c r="E35" s="10">
        <f>E$6*EXP(E$7*($A35^E$8))</f>
        <v>100</v>
      </c>
      <c r="F35" s="18">
        <f>E35</f>
        <v>100</v>
      </c>
      <c r="G35" s="14">
        <f t="shared" si="3"/>
        <v>100</v>
      </c>
      <c r="H35" s="23">
        <f>F35</f>
        <v>100</v>
      </c>
      <c r="I35" s="175">
        <f>I$6*EXP(I$7*($A35^I$8))</f>
        <v>100</v>
      </c>
      <c r="J35" s="176">
        <f t="shared" si="4"/>
        <v>100</v>
      </c>
    </row>
    <row r="36" ht="15">
      <c r="E36" s="19" t="s">
        <v>499</v>
      </c>
    </row>
    <row r="39" spans="3:4" ht="15">
      <c r="C39" s="171"/>
      <c r="D39" s="171"/>
    </row>
    <row r="40" spans="1:10" ht="15">
      <c r="A40" t="s">
        <v>490</v>
      </c>
      <c r="C40" s="5">
        <f>B8*B7*(1^B8)</f>
        <v>-0.6702574912646267</v>
      </c>
      <c r="D40" s="5"/>
      <c r="G40" t="s">
        <v>520</v>
      </c>
      <c r="I40"/>
      <c r="J40" s="38">
        <f>J8*J7*(1.061^J8)</f>
        <v>-0.5559840161700946</v>
      </c>
    </row>
    <row r="41" spans="1:7" ht="15">
      <c r="A41" t="s">
        <v>521</v>
      </c>
      <c r="G41" t="s">
        <v>522</v>
      </c>
    </row>
    <row r="42" spans="1:3" ht="15">
      <c r="A42" t="s">
        <v>524</v>
      </c>
      <c r="C42" s="5">
        <f>B8*B7*(A26^B8)</f>
        <v>-0.35918209610178914</v>
      </c>
    </row>
    <row r="43" ht="15">
      <c r="A43" t="s">
        <v>521</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codeName="Sheet2">
    <tabColor indexed="10"/>
  </sheetPr>
  <dimension ref="A1:I23"/>
  <sheetViews>
    <sheetView showGridLines="0" zoomScale="120" zoomScaleNormal="120" zoomScalePageLayoutView="0" workbookViewId="0" topLeftCell="B1">
      <selection activeCell="G4" sqref="G4"/>
    </sheetView>
  </sheetViews>
  <sheetFormatPr defaultColWidth="9.140625" defaultRowHeight="15"/>
  <cols>
    <col min="1" max="1" width="8.28125" style="553" customWidth="1"/>
    <col min="2" max="2" width="9.140625" style="555" customWidth="1"/>
    <col min="3" max="3" width="12.140625" style="555" customWidth="1"/>
    <col min="4" max="4" width="11.140625" style="555" customWidth="1"/>
    <col min="5" max="5" width="9.140625" style="555" customWidth="1"/>
    <col min="6" max="6" width="13.140625" style="555" customWidth="1"/>
    <col min="7" max="7" width="18.8515625" style="555" bestFit="1" customWidth="1"/>
    <col min="8" max="9" width="9.140625" style="555" customWidth="1"/>
    <col min="10" max="10" width="12.00390625" style="555" customWidth="1"/>
    <col min="11" max="16384" width="9.140625" style="555" customWidth="1"/>
  </cols>
  <sheetData>
    <row r="1" spans="2:6" ht="26.25">
      <c r="B1" s="554" t="s">
        <v>79</v>
      </c>
      <c r="C1" s="553"/>
      <c r="D1" s="553"/>
      <c r="E1" s="553"/>
      <c r="F1" s="553"/>
    </row>
    <row r="2" spans="1:6" ht="16.5" thickBot="1">
      <c r="A2" s="542"/>
      <c r="B2" s="553"/>
      <c r="C2" s="553"/>
      <c r="D2" s="553"/>
      <c r="E2" s="553"/>
      <c r="F2" s="553"/>
    </row>
    <row r="3" spans="1:9" s="557" customFormat="1" ht="15.75">
      <c r="A3" s="429">
        <v>1</v>
      </c>
      <c r="B3" s="943" t="s">
        <v>10</v>
      </c>
      <c r="C3" s="944"/>
      <c r="D3" s="944"/>
      <c r="E3" s="944"/>
      <c r="F3" s="944"/>
      <c r="G3" s="435" t="s">
        <v>11</v>
      </c>
      <c r="H3" s="556"/>
      <c r="I3" s="556"/>
    </row>
    <row r="4" spans="1:9" s="559" customFormat="1" ht="16.5" thickBot="1">
      <c r="A4" s="429">
        <v>2</v>
      </c>
      <c r="B4" s="945" t="s">
        <v>62</v>
      </c>
      <c r="C4" s="946"/>
      <c r="D4" s="946"/>
      <c r="E4" s="946"/>
      <c r="F4" s="946"/>
      <c r="G4" s="436" t="s">
        <v>14</v>
      </c>
      <c r="H4" s="558"/>
      <c r="I4" s="558"/>
    </row>
    <row r="5" spans="1:9" ht="16.5" thickBot="1">
      <c r="A5" s="430"/>
      <c r="B5" s="949"/>
      <c r="C5" s="949"/>
      <c r="D5" s="949"/>
      <c r="E5" s="949"/>
      <c r="F5" s="949"/>
      <c r="G5" s="560"/>
      <c r="H5" s="561"/>
      <c r="I5" s="561"/>
    </row>
    <row r="6" spans="1:9" s="557" customFormat="1" ht="16.5" thickBot="1">
      <c r="A6" s="429">
        <v>3</v>
      </c>
      <c r="B6" s="947" t="s">
        <v>484</v>
      </c>
      <c r="C6" s="948"/>
      <c r="D6" s="948"/>
      <c r="E6" s="948"/>
      <c r="F6" s="948"/>
      <c r="G6" s="437">
        <v>1000</v>
      </c>
      <c r="H6" s="556"/>
      <c r="I6" s="556"/>
    </row>
    <row r="7" spans="1:9" s="564" customFormat="1" ht="18.75">
      <c r="A7" s="430"/>
      <c r="B7" s="562"/>
      <c r="C7" s="562"/>
      <c r="D7" s="562"/>
      <c r="E7" s="562"/>
      <c r="F7" s="562"/>
      <c r="G7" s="562"/>
      <c r="H7" s="563"/>
      <c r="I7" s="563"/>
    </row>
    <row r="8" ht="15.75">
      <c r="A8" s="430"/>
    </row>
    <row r="9" ht="15.75">
      <c r="A9" s="565"/>
    </row>
    <row r="12" ht="12.75" customHeight="1"/>
    <row r="23" ht="15.75">
      <c r="G23" s="566"/>
    </row>
  </sheetData>
  <sheetProtection formatCells="0" formatColumns="0" formatRows="0" insertColumns="0" insertRows="0" insertHyperlinks="0" deleteColumns="0" deleteRows="0" sort="0" autoFilter="0" pivotTables="0"/>
  <mergeCells count="4">
    <mergeCell ref="B3:F3"/>
    <mergeCell ref="B4:F4"/>
    <mergeCell ref="B6:F6"/>
    <mergeCell ref="B5:F5"/>
  </mergeCells>
  <dataValidations count="2">
    <dataValidation type="list" allowBlank="1" showInputMessage="1" showErrorMessage="1" sqref="G3">
      <formula1>AREA</formula1>
    </dataValidation>
    <dataValidation type="list" allowBlank="1" showInputMessage="1" showErrorMessage="1" sqref="G4">
      <formula1>year4</formula1>
    </dataValidation>
  </dataValidations>
  <hyperlinks>
    <hyperlink ref="A3" location="Instructions!A22" display="Instructions!A22"/>
    <hyperlink ref="A4" location="Instructions!A23" display="Instructions!A23"/>
    <hyperlink ref="A6" location="Instructions!A24" display="Instructions!A24"/>
  </hyperlinks>
  <printOptions gridLines="1" headings="1"/>
  <pageMargins left="0.75" right="0.75" top="1" bottom="1" header="0.5" footer="0.5"/>
  <pageSetup horizontalDpi="600" verticalDpi="600" orientation="landscape" paperSize="9" r:id="rId2"/>
  <legacyDrawing r:id="rId1"/>
</worksheet>
</file>

<file path=xl/worksheets/sheet3.xml><?xml version="1.0" encoding="utf-8"?>
<worksheet xmlns="http://schemas.openxmlformats.org/spreadsheetml/2006/main" xmlns:r="http://schemas.openxmlformats.org/officeDocument/2006/relationships">
  <sheetPr codeName="Sheet5">
    <tabColor indexed="44"/>
  </sheetPr>
  <dimension ref="A1:K98"/>
  <sheetViews>
    <sheetView showGridLines="0" tabSelected="1" zoomScale="75" zoomScaleNormal="75" zoomScalePageLayoutView="0" workbookViewId="0" topLeftCell="A7">
      <selection activeCell="C10" sqref="C10"/>
    </sheetView>
  </sheetViews>
  <sheetFormatPr defaultColWidth="9.140625" defaultRowHeight="15"/>
  <cols>
    <col min="1" max="1" width="9.140625" style="441" customWidth="1"/>
    <col min="2" max="2" width="41.7109375" style="555" customWidth="1"/>
    <col min="3" max="3" width="27.57421875" style="555" customWidth="1"/>
    <col min="4" max="4" width="19.00390625" style="555" customWidth="1"/>
    <col min="5" max="5" width="22.140625" style="555" customWidth="1"/>
    <col min="6" max="6" width="20.57421875" style="555" bestFit="1" customWidth="1"/>
    <col min="7" max="7" width="22.421875" style="555" customWidth="1"/>
    <col min="8" max="8" width="24.140625" style="555" customWidth="1"/>
    <col min="9" max="16384" width="9.140625" style="555" customWidth="1"/>
  </cols>
  <sheetData>
    <row r="1" spans="1:3" s="564" customFormat="1" ht="31.5">
      <c r="A1" s="441"/>
      <c r="B1" s="567" t="s">
        <v>323</v>
      </c>
      <c r="C1" s="568"/>
    </row>
    <row r="2" spans="1:3" s="564" customFormat="1" ht="18.75">
      <c r="A2" s="441"/>
      <c r="B2" s="569"/>
      <c r="C2" s="568"/>
    </row>
    <row r="3" spans="1:7" s="557" customFormat="1" ht="15.75">
      <c r="A3" s="438">
        <v>4</v>
      </c>
      <c r="B3" s="570"/>
      <c r="C3" s="439"/>
      <c r="D3" s="571"/>
      <c r="E3" s="572"/>
      <c r="F3" s="572"/>
      <c r="G3" s="572"/>
    </row>
    <row r="4" spans="1:3" s="557" customFormat="1" ht="15.75">
      <c r="A4" s="441"/>
      <c r="B4" s="573"/>
      <c r="C4" s="442"/>
    </row>
    <row r="5" spans="1:11" s="575" customFormat="1" ht="15.75">
      <c r="A5" s="441"/>
      <c r="B5" s="555"/>
      <c r="C5" s="555"/>
      <c r="D5" s="555"/>
      <c r="E5" s="555"/>
      <c r="F5" s="555"/>
      <c r="G5" s="555"/>
      <c r="H5" s="555"/>
      <c r="I5" s="555"/>
      <c r="J5" s="555"/>
      <c r="K5" s="574"/>
    </row>
    <row r="9" ht="16.5" thickBot="1"/>
    <row r="10" spans="1:5" s="559" customFormat="1" ht="19.5" thickBot="1">
      <c r="A10" s="438">
        <v>21</v>
      </c>
      <c r="B10" s="576" t="s">
        <v>51</v>
      </c>
      <c r="C10" s="543">
        <f>C29</f>
        <v>1.5163681375304474</v>
      </c>
      <c r="E10" s="577"/>
    </row>
    <row r="16" spans="1:2" s="559" customFormat="1" ht="21">
      <c r="A16" s="438">
        <v>5</v>
      </c>
      <c r="B16" s="578" t="s">
        <v>54</v>
      </c>
    </row>
    <row r="17" spans="1:2" s="559" customFormat="1" ht="21">
      <c r="A17" s="669"/>
      <c r="B17" s="578"/>
    </row>
    <row r="18" spans="1:2" s="559" customFormat="1" ht="21">
      <c r="A18" s="669"/>
      <c r="B18" s="578"/>
    </row>
    <row r="19" spans="1:2" s="559" customFormat="1" ht="21.75" thickBot="1">
      <c r="A19" s="669"/>
      <c r="B19" s="578"/>
    </row>
    <row r="20" spans="1:8" ht="16.5" thickBot="1">
      <c r="A20" s="670"/>
      <c r="B20" s="579" t="s">
        <v>67</v>
      </c>
      <c r="C20" s="580"/>
      <c r="G20" s="775">
        <v>12</v>
      </c>
      <c r="H20" s="771"/>
    </row>
    <row r="21" spans="1:8" s="557" customFormat="1" ht="16.5" thickBot="1">
      <c r="A21" s="438">
        <v>6</v>
      </c>
      <c r="B21" s="581" t="s">
        <v>53</v>
      </c>
      <c r="C21" s="941">
        <v>1.691</v>
      </c>
      <c r="G21" s="950" t="s">
        <v>306</v>
      </c>
      <c r="H21" s="951"/>
    </row>
    <row r="22" spans="1:8" ht="16.5" thickBot="1">
      <c r="A22" s="438">
        <v>7</v>
      </c>
      <c r="B22" s="581" t="s">
        <v>469</v>
      </c>
      <c r="C22" s="941">
        <v>3.674</v>
      </c>
      <c r="D22" s="582">
        <f>IF(OR('AF Workings'!D6&gt;10,'AF Workings'!W6&gt;10),"Warning: Ratio of daily to cash fares not in Lookup - use Basket of Fares","")</f>
      </c>
      <c r="G22" s="772" t="s">
        <v>305</v>
      </c>
      <c r="H22" s="587" t="s">
        <v>307</v>
      </c>
    </row>
    <row r="23" spans="1:8" s="559" customFormat="1" ht="16.5" thickBot="1">
      <c r="A23" s="438">
        <v>8</v>
      </c>
      <c r="B23" s="583" t="s">
        <v>470</v>
      </c>
      <c r="C23" s="941">
        <v>12.06</v>
      </c>
      <c r="D23" s="557"/>
      <c r="E23" s="557"/>
      <c r="G23" s="773" t="s">
        <v>304</v>
      </c>
      <c r="H23" s="588">
        <f>'AF Workings'!$AG$25</f>
        <v>0.9148286131022275</v>
      </c>
    </row>
    <row r="24" spans="2:8" ht="16.5" thickBot="1">
      <c r="B24" s="584"/>
      <c r="C24" s="585"/>
      <c r="G24" s="774" t="s">
        <v>43</v>
      </c>
      <c r="H24" s="589">
        <f>'AF Workings'!$AG$26</f>
        <v>0.055805395641137304</v>
      </c>
    </row>
    <row r="25" spans="1:8" ht="16.5" thickBot="1">
      <c r="A25" s="438">
        <v>9</v>
      </c>
      <c r="B25" s="579" t="s">
        <v>70</v>
      </c>
      <c r="C25" s="586">
        <f>'AF Workings'!$H$18</f>
        <v>0.21832528953942276</v>
      </c>
      <c r="G25" s="772" t="s">
        <v>44</v>
      </c>
      <c r="H25" s="590">
        <f>'AF Workings'!$AG$27</f>
        <v>0.029365991256635266</v>
      </c>
    </row>
    <row r="26" spans="2:3" ht="16.5" thickBot="1">
      <c r="B26" s="584"/>
      <c r="C26" s="585"/>
    </row>
    <row r="27" spans="1:3" ht="16.5" thickBot="1">
      <c r="A27" s="438">
        <v>10</v>
      </c>
      <c r="B27" s="579" t="s">
        <v>471</v>
      </c>
      <c r="C27" s="586">
        <f>'AF Workings'!$AG$18</f>
        <v>0.10327135568867685</v>
      </c>
    </row>
    <row r="28" spans="2:3" ht="16.5" thickBot="1">
      <c r="B28" s="584"/>
      <c r="C28" s="585"/>
    </row>
    <row r="29" spans="1:5" s="559" customFormat="1" ht="16.5" thickBot="1">
      <c r="A29" s="438">
        <v>11</v>
      </c>
      <c r="B29" s="579" t="s">
        <v>63</v>
      </c>
      <c r="C29" s="591">
        <f>C21-(C21*C27)</f>
        <v>1.5163681375304474</v>
      </c>
      <c r="E29" s="897"/>
    </row>
    <row r="33" spans="1:2" s="559" customFormat="1" ht="21">
      <c r="A33" s="438">
        <v>13</v>
      </c>
      <c r="B33" s="578" t="s">
        <v>55</v>
      </c>
    </row>
    <row r="34" spans="1:8" ht="16.5" thickBot="1">
      <c r="A34" s="438"/>
      <c r="B34" s="146">
        <v>14</v>
      </c>
      <c r="C34" s="146">
        <v>15</v>
      </c>
      <c r="D34" s="146">
        <v>16</v>
      </c>
      <c r="E34" s="146">
        <v>17</v>
      </c>
      <c r="F34" s="146">
        <v>18</v>
      </c>
      <c r="G34" s="146">
        <v>19</v>
      </c>
      <c r="H34" s="147"/>
    </row>
    <row r="35" spans="1:7" s="559" customFormat="1" ht="48" thickBot="1">
      <c r="A35" s="441"/>
      <c r="B35" s="592" t="s">
        <v>56</v>
      </c>
      <c r="C35" s="593" t="s">
        <v>57</v>
      </c>
      <c r="D35" s="593" t="s">
        <v>472</v>
      </c>
      <c r="E35" s="593" t="s">
        <v>473</v>
      </c>
      <c r="F35" s="593" t="s">
        <v>474</v>
      </c>
      <c r="G35" s="594" t="s">
        <v>58</v>
      </c>
    </row>
    <row r="36" spans="1:7" s="559" customFormat="1" ht="15.75">
      <c r="A36" s="441"/>
      <c r="B36" s="595" t="s">
        <v>59</v>
      </c>
      <c r="C36" s="449"/>
      <c r="D36" s="450"/>
      <c r="E36" s="596">
        <f aca="true" t="shared" si="0" ref="E36:E46">IF(D36="","",C36/D36)</f>
      </c>
      <c r="F36" s="451"/>
      <c r="G36" s="597">
        <f aca="true" t="shared" si="1" ref="G36:G46">IF(OR(C36="",D36="",F36=""),"",F36*E36)</f>
      </c>
    </row>
    <row r="37" spans="1:7" s="559" customFormat="1" ht="15.75">
      <c r="A37" s="441"/>
      <c r="B37" s="595" t="s">
        <v>59</v>
      </c>
      <c r="C37" s="452"/>
      <c r="D37" s="453"/>
      <c r="E37" s="598">
        <f t="shared" si="0"/>
      </c>
      <c r="F37" s="454"/>
      <c r="G37" s="599">
        <f t="shared" si="1"/>
      </c>
    </row>
    <row r="38" spans="1:9" s="559" customFormat="1" ht="15.75">
      <c r="A38" s="441"/>
      <c r="B38" s="595" t="s">
        <v>59</v>
      </c>
      <c r="C38" s="452"/>
      <c r="D38" s="453"/>
      <c r="E38" s="598">
        <f t="shared" si="0"/>
      </c>
      <c r="F38" s="454"/>
      <c r="G38" s="599">
        <f t="shared" si="1"/>
      </c>
      <c r="I38" s="600"/>
    </row>
    <row r="39" spans="1:7" s="559" customFormat="1" ht="15.75">
      <c r="A39" s="441"/>
      <c r="B39" s="595" t="s">
        <v>59</v>
      </c>
      <c r="C39" s="452"/>
      <c r="D39" s="453"/>
      <c r="E39" s="598">
        <f t="shared" si="0"/>
      </c>
      <c r="F39" s="454"/>
      <c r="G39" s="599">
        <f t="shared" si="1"/>
      </c>
    </row>
    <row r="40" spans="1:7" s="559" customFormat="1" ht="15.75">
      <c r="A40" s="441"/>
      <c r="B40" s="595" t="s">
        <v>59</v>
      </c>
      <c r="C40" s="452"/>
      <c r="D40" s="453"/>
      <c r="E40" s="598">
        <f t="shared" si="0"/>
      </c>
      <c r="F40" s="454"/>
      <c r="G40" s="599">
        <f t="shared" si="1"/>
      </c>
    </row>
    <row r="41" spans="1:7" s="559" customFormat="1" ht="15.75">
      <c r="A41" s="441"/>
      <c r="B41" s="595" t="s">
        <v>59</v>
      </c>
      <c r="C41" s="452"/>
      <c r="D41" s="453"/>
      <c r="E41" s="598">
        <f t="shared" si="0"/>
      </c>
      <c r="F41" s="454"/>
      <c r="G41" s="599">
        <f t="shared" si="1"/>
      </c>
    </row>
    <row r="42" spans="1:7" s="559" customFormat="1" ht="15.75">
      <c r="A42" s="441"/>
      <c r="B42" s="595" t="s">
        <v>59</v>
      </c>
      <c r="C42" s="452"/>
      <c r="D42" s="453"/>
      <c r="E42" s="601">
        <f t="shared" si="0"/>
      </c>
      <c r="F42" s="454"/>
      <c r="G42" s="602">
        <f t="shared" si="1"/>
      </c>
    </row>
    <row r="43" spans="1:7" s="559" customFormat="1" ht="15.75">
      <c r="A43" s="441"/>
      <c r="B43" s="595" t="s">
        <v>59</v>
      </c>
      <c r="C43" s="452"/>
      <c r="D43" s="453"/>
      <c r="E43" s="601">
        <f t="shared" si="0"/>
      </c>
      <c r="F43" s="454"/>
      <c r="G43" s="602">
        <f t="shared" si="1"/>
      </c>
    </row>
    <row r="44" spans="1:7" s="559" customFormat="1" ht="15.75">
      <c r="A44" s="441"/>
      <c r="B44" s="595" t="s">
        <v>59</v>
      </c>
      <c r="C44" s="452"/>
      <c r="D44" s="453"/>
      <c r="E44" s="601">
        <f t="shared" si="0"/>
      </c>
      <c r="F44" s="454"/>
      <c r="G44" s="602">
        <f t="shared" si="1"/>
      </c>
    </row>
    <row r="45" spans="1:7" s="559" customFormat="1" ht="15.75">
      <c r="A45" s="441"/>
      <c r="B45" s="595" t="s">
        <v>59</v>
      </c>
      <c r="C45" s="452"/>
      <c r="D45" s="453"/>
      <c r="E45" s="601">
        <f t="shared" si="0"/>
      </c>
      <c r="F45" s="454"/>
      <c r="G45" s="602">
        <f t="shared" si="1"/>
      </c>
    </row>
    <row r="46" spans="1:7" s="559" customFormat="1" ht="15.75">
      <c r="A46" s="441"/>
      <c r="B46" s="595" t="s">
        <v>59</v>
      </c>
      <c r="C46" s="452"/>
      <c r="D46" s="453"/>
      <c r="E46" s="601">
        <f t="shared" si="0"/>
      </c>
      <c r="F46" s="454"/>
      <c r="G46" s="602">
        <f t="shared" si="1"/>
      </c>
    </row>
    <row r="47" spans="1:7" s="559" customFormat="1" ht="15.75">
      <c r="A47" s="441"/>
      <c r="B47" s="955" t="s">
        <v>49</v>
      </c>
      <c r="C47" s="956"/>
      <c r="D47" s="956"/>
      <c r="E47" s="956"/>
      <c r="F47" s="603">
        <f>SUM(F36:F46)</f>
        <v>0</v>
      </c>
      <c r="G47" s="604"/>
    </row>
    <row r="48" spans="1:7" s="606" customFormat="1" ht="16.5" thickBot="1">
      <c r="A48" s="438">
        <v>20</v>
      </c>
      <c r="B48" s="957" t="s">
        <v>60</v>
      </c>
      <c r="C48" s="958"/>
      <c r="D48" s="958"/>
      <c r="E48" s="958"/>
      <c r="F48" s="959"/>
      <c r="G48" s="605">
        <f>SUM(G36:G46)</f>
        <v>0</v>
      </c>
    </row>
    <row r="49" spans="1:8" s="606" customFormat="1" ht="15.75">
      <c r="A49" s="441"/>
      <c r="B49" s="960"/>
      <c r="C49" s="960"/>
      <c r="D49" s="960"/>
      <c r="E49" s="960"/>
      <c r="F49" s="960"/>
      <c r="G49" s="607"/>
      <c r="H49" s="608"/>
    </row>
    <row r="50" spans="8:9" ht="15.75">
      <c r="H50" s="609"/>
      <c r="I50" s="610"/>
    </row>
    <row r="53" spans="1:2" s="606" customFormat="1" ht="15.75">
      <c r="A53" s="441">
        <v>22</v>
      </c>
      <c r="B53" s="611" t="s">
        <v>215</v>
      </c>
    </row>
    <row r="54" spans="1:2" s="606" customFormat="1" ht="15.75">
      <c r="A54" s="441"/>
      <c r="B54" s="611"/>
    </row>
    <row r="55" spans="1:5" s="613" customFormat="1" ht="15.75">
      <c r="A55" s="441">
        <v>23</v>
      </c>
      <c r="B55" s="612" t="s">
        <v>216</v>
      </c>
      <c r="C55" s="613">
        <v>24</v>
      </c>
      <c r="D55" s="613">
        <v>25</v>
      </c>
      <c r="E55" s="613">
        <v>26</v>
      </c>
    </row>
    <row r="56" spans="2:7" ht="31.5">
      <c r="B56" s="614" t="s">
        <v>217</v>
      </c>
      <c r="C56" s="615" t="s">
        <v>218</v>
      </c>
      <c r="D56" s="615" t="s">
        <v>219</v>
      </c>
      <c r="E56" s="615" t="s">
        <v>234</v>
      </c>
      <c r="F56" s="615" t="s">
        <v>235</v>
      </c>
      <c r="G56" s="553"/>
    </row>
    <row r="57" spans="2:7" ht="15.75">
      <c r="B57" s="544" t="s">
        <v>59</v>
      </c>
      <c r="C57" s="545"/>
      <c r="D57" s="546"/>
      <c r="E57" s="547"/>
      <c r="F57" s="616">
        <f aca="true" t="shared" si="2" ref="F57:F64">C57*D57</f>
        <v>0</v>
      </c>
      <c r="G57" s="553"/>
    </row>
    <row r="58" spans="2:7" ht="15.75">
      <c r="B58" s="544" t="s">
        <v>59</v>
      </c>
      <c r="C58" s="545"/>
      <c r="D58" s="546"/>
      <c r="E58" s="547"/>
      <c r="F58" s="616">
        <f t="shared" si="2"/>
        <v>0</v>
      </c>
      <c r="G58" s="553"/>
    </row>
    <row r="59" spans="2:7" ht="15.75">
      <c r="B59" s="544" t="s">
        <v>59</v>
      </c>
      <c r="C59" s="545"/>
      <c r="D59" s="546"/>
      <c r="E59" s="547"/>
      <c r="F59" s="616">
        <f t="shared" si="2"/>
        <v>0</v>
      </c>
      <c r="G59" s="553"/>
    </row>
    <row r="60" spans="2:7" ht="15.75">
      <c r="B60" s="544" t="s">
        <v>59</v>
      </c>
      <c r="C60" s="545"/>
      <c r="D60" s="546"/>
      <c r="E60" s="547"/>
      <c r="F60" s="616">
        <f t="shared" si="2"/>
        <v>0</v>
      </c>
      <c r="G60" s="553"/>
    </row>
    <row r="61" spans="2:7" ht="15.75">
      <c r="B61" s="544" t="s">
        <v>59</v>
      </c>
      <c r="C61" s="545"/>
      <c r="D61" s="546"/>
      <c r="E61" s="547"/>
      <c r="F61" s="616">
        <f t="shared" si="2"/>
        <v>0</v>
      </c>
      <c r="G61" s="553"/>
    </row>
    <row r="62" spans="2:7" ht="15.75">
      <c r="B62" s="544" t="s">
        <v>59</v>
      </c>
      <c r="C62" s="545"/>
      <c r="D62" s="546"/>
      <c r="E62" s="547"/>
      <c r="F62" s="616">
        <f t="shared" si="2"/>
        <v>0</v>
      </c>
      <c r="G62" s="553"/>
    </row>
    <row r="63" spans="2:7" ht="15.75">
      <c r="B63" s="544" t="s">
        <v>59</v>
      </c>
      <c r="C63" s="545"/>
      <c r="D63" s="546"/>
      <c r="E63" s="547"/>
      <c r="F63" s="616">
        <f t="shared" si="2"/>
        <v>0</v>
      </c>
      <c r="G63" s="553"/>
    </row>
    <row r="64" spans="2:7" ht="15.75">
      <c r="B64" s="544" t="s">
        <v>59</v>
      </c>
      <c r="C64" s="545"/>
      <c r="D64" s="546"/>
      <c r="E64" s="547"/>
      <c r="F64" s="616">
        <f t="shared" si="2"/>
        <v>0</v>
      </c>
      <c r="G64" s="553"/>
    </row>
    <row r="65" spans="2:7" ht="15.75">
      <c r="B65" s="952" t="s">
        <v>236</v>
      </c>
      <c r="C65" s="953"/>
      <c r="D65" s="954"/>
      <c r="E65" s="618">
        <f>SUM(E57:E64)</f>
        <v>0</v>
      </c>
      <c r="F65" s="619">
        <f>SUM(F57:F64)</f>
        <v>0</v>
      </c>
      <c r="G65" s="553"/>
    </row>
    <row r="66" spans="2:7" ht="15.75">
      <c r="B66" s="952" t="s">
        <v>237</v>
      </c>
      <c r="C66" s="953"/>
      <c r="D66" s="953"/>
      <c r="E66" s="954"/>
      <c r="F66" s="620" t="e">
        <f>E65/F65</f>
        <v>#DIV/0!</v>
      </c>
      <c r="G66" s="553"/>
    </row>
    <row r="67" spans="2:7" ht="15.75">
      <c r="B67" s="553"/>
      <c r="C67" s="553"/>
      <c r="D67" s="553"/>
      <c r="E67" s="553"/>
      <c r="F67" s="621"/>
      <c r="G67" s="553"/>
    </row>
    <row r="68" spans="2:7" ht="15.75">
      <c r="B68" s="553"/>
      <c r="C68" s="553"/>
      <c r="D68" s="553"/>
      <c r="E68" s="553"/>
      <c r="F68" s="621"/>
      <c r="G68" s="553"/>
    </row>
    <row r="69" spans="2:7" ht="15.75">
      <c r="B69" s="611" t="s">
        <v>238</v>
      </c>
      <c r="C69" s="553"/>
      <c r="D69" s="553"/>
      <c r="E69" s="553"/>
      <c r="F69" s="553"/>
      <c r="G69" s="553"/>
    </row>
    <row r="70" spans="2:7" ht="15.75">
      <c r="B70" s="614" t="s">
        <v>217</v>
      </c>
      <c r="C70" s="615" t="s">
        <v>219</v>
      </c>
      <c r="D70" s="615" t="s">
        <v>234</v>
      </c>
      <c r="E70" s="553"/>
      <c r="F70" s="553"/>
      <c r="G70" s="553"/>
    </row>
    <row r="71" spans="2:7" ht="15.75">
      <c r="B71" s="544" t="s">
        <v>59</v>
      </c>
      <c r="C71" s="546"/>
      <c r="D71" s="547"/>
      <c r="E71" s="553"/>
      <c r="F71" s="553"/>
      <c r="G71" s="553"/>
    </row>
    <row r="72" spans="2:7" ht="15.75">
      <c r="B72" s="544" t="s">
        <v>59</v>
      </c>
      <c r="C72" s="546"/>
      <c r="D72" s="547"/>
      <c r="E72" s="553"/>
      <c r="F72" s="553"/>
      <c r="G72" s="553"/>
    </row>
    <row r="73" spans="2:7" ht="15.75">
      <c r="B73" s="544" t="s">
        <v>59</v>
      </c>
      <c r="C73" s="546"/>
      <c r="D73" s="547"/>
      <c r="E73" s="553"/>
      <c r="F73" s="553"/>
      <c r="G73" s="553"/>
    </row>
    <row r="74" spans="2:7" ht="15.75">
      <c r="B74" s="544" t="s">
        <v>59</v>
      </c>
      <c r="C74" s="546"/>
      <c r="D74" s="547"/>
      <c r="E74" s="553"/>
      <c r="F74" s="553"/>
      <c r="G74" s="553"/>
    </row>
    <row r="75" spans="2:7" ht="15.75">
      <c r="B75" s="544" t="s">
        <v>59</v>
      </c>
      <c r="C75" s="546"/>
      <c r="D75" s="547"/>
      <c r="E75" s="553"/>
      <c r="F75" s="553"/>
      <c r="G75" s="553"/>
    </row>
    <row r="76" spans="2:7" ht="15.75">
      <c r="B76" s="544" t="s">
        <v>59</v>
      </c>
      <c r="C76" s="546"/>
      <c r="D76" s="547"/>
      <c r="E76" s="553"/>
      <c r="F76" s="553"/>
      <c r="G76" s="553"/>
    </row>
    <row r="77" spans="2:7" ht="15.75">
      <c r="B77" s="544" t="s">
        <v>59</v>
      </c>
      <c r="C77" s="546"/>
      <c r="D77" s="547"/>
      <c r="E77" s="553"/>
      <c r="F77" s="553"/>
      <c r="G77" s="553"/>
    </row>
    <row r="78" spans="2:7" ht="15.75">
      <c r="B78" s="544" t="s">
        <v>59</v>
      </c>
      <c r="C78" s="546"/>
      <c r="D78" s="547"/>
      <c r="E78" s="553"/>
      <c r="F78" s="553"/>
      <c r="G78" s="553"/>
    </row>
    <row r="79" spans="2:7" ht="15.75">
      <c r="B79" s="617" t="s">
        <v>239</v>
      </c>
      <c r="C79" s="619">
        <f>SUM(C71:C78)</f>
        <v>0</v>
      </c>
      <c r="D79" s="618">
        <f>SUM(D71:D78)</f>
        <v>0</v>
      </c>
      <c r="E79" s="553"/>
      <c r="F79" s="553"/>
      <c r="G79" s="553"/>
    </row>
    <row r="80" spans="2:7" ht="15.75">
      <c r="B80" s="952" t="s">
        <v>240</v>
      </c>
      <c r="C80" s="954"/>
      <c r="D80" s="620" t="e">
        <f>D79/C79</f>
        <v>#DIV/0!</v>
      </c>
      <c r="E80" s="553"/>
      <c r="F80" s="553"/>
      <c r="G80" s="553"/>
    </row>
    <row r="81" spans="2:7" ht="15.75">
      <c r="B81" s="553"/>
      <c r="C81" s="622"/>
      <c r="D81" s="623"/>
      <c r="E81" s="623"/>
      <c r="F81" s="553"/>
      <c r="G81" s="553"/>
    </row>
    <row r="82" spans="2:7" ht="15.75">
      <c r="B82" s="553"/>
      <c r="C82" s="553"/>
      <c r="D82" s="623"/>
      <c r="E82" s="623"/>
      <c r="F82" s="553"/>
      <c r="G82" s="553"/>
    </row>
    <row r="83" spans="2:7" ht="15.75">
      <c r="B83" s="611" t="s">
        <v>241</v>
      </c>
      <c r="C83" s="553"/>
      <c r="D83" s="553"/>
      <c r="E83" s="553"/>
      <c r="F83" s="553"/>
      <c r="G83" s="553"/>
    </row>
    <row r="84" spans="2:7" ht="15.75">
      <c r="B84" s="614" t="s">
        <v>217</v>
      </c>
      <c r="C84" s="615" t="s">
        <v>219</v>
      </c>
      <c r="D84" s="615" t="s">
        <v>234</v>
      </c>
      <c r="E84" s="553"/>
      <c r="F84" s="553"/>
      <c r="G84" s="553"/>
    </row>
    <row r="85" spans="2:7" ht="15.75">
      <c r="B85" s="544" t="s">
        <v>59</v>
      </c>
      <c r="C85" s="546"/>
      <c r="D85" s="547"/>
      <c r="E85" s="553"/>
      <c r="F85" s="553"/>
      <c r="G85" s="553"/>
    </row>
    <row r="86" spans="2:7" ht="15.75">
      <c r="B86" s="544" t="s">
        <v>59</v>
      </c>
      <c r="C86" s="546"/>
      <c r="D86" s="547"/>
      <c r="E86" s="553"/>
      <c r="F86" s="553"/>
      <c r="G86" s="553"/>
    </row>
    <row r="87" spans="2:7" ht="15.75">
      <c r="B87" s="544" t="s">
        <v>59</v>
      </c>
      <c r="C87" s="546"/>
      <c r="D87" s="547"/>
      <c r="E87" s="553"/>
      <c r="F87" s="553"/>
      <c r="G87" s="553"/>
    </row>
    <row r="88" spans="2:7" ht="15.75">
      <c r="B88" s="544" t="s">
        <v>59</v>
      </c>
      <c r="C88" s="546"/>
      <c r="D88" s="547"/>
      <c r="E88" s="623"/>
      <c r="F88" s="553"/>
      <c r="G88" s="553"/>
    </row>
    <row r="89" spans="2:7" ht="15.75">
      <c r="B89" s="544" t="s">
        <v>59</v>
      </c>
      <c r="C89" s="546"/>
      <c r="D89" s="547"/>
      <c r="E89" s="623"/>
      <c r="F89" s="553"/>
      <c r="G89" s="553"/>
    </row>
    <row r="90" spans="2:7" ht="15.75">
      <c r="B90" s="544" t="s">
        <v>59</v>
      </c>
      <c r="C90" s="546"/>
      <c r="D90" s="547"/>
      <c r="E90" s="623"/>
      <c r="F90" s="553"/>
      <c r="G90" s="553"/>
    </row>
    <row r="91" spans="2:7" ht="15.75">
      <c r="B91" s="544" t="s">
        <v>59</v>
      </c>
      <c r="C91" s="546"/>
      <c r="D91" s="547"/>
      <c r="E91" s="553"/>
      <c r="F91" s="553"/>
      <c r="G91" s="553"/>
    </row>
    <row r="92" spans="2:7" ht="15.75">
      <c r="B92" s="544" t="s">
        <v>59</v>
      </c>
      <c r="C92" s="546"/>
      <c r="D92" s="547"/>
      <c r="E92" s="553"/>
      <c r="F92" s="553"/>
      <c r="G92" s="553"/>
    </row>
    <row r="93" spans="2:7" ht="15.75">
      <c r="B93" s="617" t="s">
        <v>242</v>
      </c>
      <c r="C93" s="619">
        <f>SUM(C85:C92)</f>
        <v>0</v>
      </c>
      <c r="D93" s="618">
        <f>SUM(D85:D92)</f>
        <v>0</v>
      </c>
      <c r="E93" s="553"/>
      <c r="F93" s="553"/>
      <c r="G93" s="553"/>
    </row>
    <row r="94" spans="2:7" ht="15.75">
      <c r="B94" s="952" t="s">
        <v>243</v>
      </c>
      <c r="C94" s="954"/>
      <c r="D94" s="620" t="e">
        <f>D93/C93</f>
        <v>#DIV/0!</v>
      </c>
      <c r="E94" s="553"/>
      <c r="F94" s="553"/>
      <c r="G94" s="553"/>
    </row>
    <row r="95" spans="2:7" ht="15.75">
      <c r="B95" s="553"/>
      <c r="C95" s="553"/>
      <c r="D95" s="553"/>
      <c r="E95" s="553"/>
      <c r="F95" s="553"/>
      <c r="G95" s="553"/>
    </row>
    <row r="96" spans="2:7" ht="15.75">
      <c r="B96" s="553"/>
      <c r="C96" s="553"/>
      <c r="D96" s="553"/>
      <c r="E96" s="553"/>
      <c r="F96" s="553"/>
      <c r="G96" s="553"/>
    </row>
    <row r="97" spans="2:7" ht="15.75">
      <c r="B97" s="553"/>
      <c r="C97" s="553"/>
      <c r="D97" s="553"/>
      <c r="E97" s="553"/>
      <c r="F97" s="553"/>
      <c r="G97" s="553"/>
    </row>
    <row r="98" spans="2:7" ht="15.75">
      <c r="B98" s="553"/>
      <c r="C98" s="553"/>
      <c r="D98" s="553"/>
      <c r="E98" s="553"/>
      <c r="F98" s="553"/>
      <c r="G98" s="553"/>
    </row>
  </sheetData>
  <sheetProtection formatCells="0" formatColumns="0" formatRows="0" insertColumns="0" insertRows="0" insertHyperlinks="0" deleteColumns="0" deleteRows="0" sort="0" autoFilter="0" pivotTables="0"/>
  <mergeCells count="8">
    <mergeCell ref="G21:H21"/>
    <mergeCell ref="B66:E66"/>
    <mergeCell ref="B80:C80"/>
    <mergeCell ref="B94:C94"/>
    <mergeCell ref="B47:E47"/>
    <mergeCell ref="B48:F48"/>
    <mergeCell ref="B65:D65"/>
    <mergeCell ref="B49:F49"/>
  </mergeCells>
  <dataValidations count="1">
    <dataValidation type="list" allowBlank="1" showInputMessage="1" showErrorMessage="1" sqref="C3">
      <formula1>AFCALC</formula1>
    </dataValidation>
  </dataValidations>
  <hyperlinks>
    <hyperlink ref="A3" location="Instructions!A27" display="Instructions!A27"/>
    <hyperlink ref="A16" location="Instructions!A28" display="Instructions!A28"/>
    <hyperlink ref="A21" location="Instructions!A30" display="Instructions!A30"/>
    <hyperlink ref="A22" location="Instructions!A31" display="Instructions!A31"/>
    <hyperlink ref="A23" location="Instructions!A32" display="Instructions!A32"/>
    <hyperlink ref="A25" location="Instructions!A33" display="Instructions!A33"/>
    <hyperlink ref="A27" location="Instructions!A34" display="Instructions!A34"/>
    <hyperlink ref="A29" location="Instructions!A35" display="Instructions!A35"/>
    <hyperlink ref="A33" location="Instructions!A37" display="Instructions!A37"/>
    <hyperlink ref="B34" location="Instructions!A39" display="Instructions!A39"/>
    <hyperlink ref="C34" location="Instructions!A40" display="Instructions!A40"/>
    <hyperlink ref="D34" location="Instructions!A41" display="Instructions!A41"/>
    <hyperlink ref="E34" location="Instructions!A42" display="Instructions!A42"/>
    <hyperlink ref="F34" location="Instructions!A43" display="Instructions!A43"/>
    <hyperlink ref="G34" location="Instructions!A44" display="Instructions!A44"/>
    <hyperlink ref="A48" location="Instructions!A45" display="Instructions!A45"/>
    <hyperlink ref="A10" location="Instructions!A46" display="Instructions!A46"/>
    <hyperlink ref="G20" location="Instructions!A36" display="Instructions!A36"/>
  </hyperlinks>
  <printOptions gridLines="1" headings="1"/>
  <pageMargins left="0.2" right="0.19" top="0.25" bottom="0.18" header="0.17" footer="0.16"/>
  <pageSetup horizontalDpi="600" verticalDpi="600" orientation="landscape" paperSize="9" scale="65" r:id="rId2"/>
  <legacyDrawing r:id="rId1"/>
</worksheet>
</file>

<file path=xl/worksheets/sheet4.xml><?xml version="1.0" encoding="utf-8"?>
<worksheet xmlns="http://schemas.openxmlformats.org/spreadsheetml/2006/main" xmlns:r="http://schemas.openxmlformats.org/officeDocument/2006/relationships">
  <sheetPr codeName="Sheet3">
    <tabColor indexed="11"/>
  </sheetPr>
  <dimension ref="A1:V48"/>
  <sheetViews>
    <sheetView showGridLines="0" zoomScale="75" zoomScaleNormal="75" zoomScalePageLayoutView="0" workbookViewId="0" topLeftCell="A22">
      <selection activeCell="B50" sqref="B50"/>
    </sheetView>
  </sheetViews>
  <sheetFormatPr defaultColWidth="9.140625" defaultRowHeight="15"/>
  <cols>
    <col min="1" max="1" width="9.140625" style="441" customWidth="1"/>
    <col min="2" max="2" width="117.140625" style="555" customWidth="1"/>
    <col min="3" max="3" width="35.00390625" style="555" bestFit="1" customWidth="1"/>
    <col min="4" max="4" width="34.00390625" style="555" customWidth="1"/>
    <col min="5" max="5" width="18.57421875" style="555" customWidth="1"/>
    <col min="6" max="10" width="9.140625" style="555" customWidth="1"/>
    <col min="11" max="11" width="5.8515625" style="555" customWidth="1"/>
    <col min="12" max="12" width="5.421875" style="555" customWidth="1"/>
    <col min="13" max="16384" width="9.140625" style="555" customWidth="1"/>
  </cols>
  <sheetData>
    <row r="1" spans="1:2" s="575" customFormat="1" ht="31.5">
      <c r="A1" s="438" t="s">
        <v>455</v>
      </c>
      <c r="B1" s="567" t="s">
        <v>68</v>
      </c>
    </row>
    <row r="2" spans="6:22" ht="15.75">
      <c r="F2" s="561"/>
      <c r="G2" s="561"/>
      <c r="H2" s="561"/>
      <c r="I2" s="561"/>
      <c r="J2" s="561"/>
      <c r="L2" s="624"/>
      <c r="M2" s="624"/>
      <c r="N2" s="624"/>
      <c r="O2" s="624"/>
      <c r="P2" s="624"/>
      <c r="Q2" s="624"/>
      <c r="R2" s="624"/>
      <c r="S2" s="624"/>
      <c r="T2" s="624"/>
      <c r="U2" s="624"/>
      <c r="V2" s="624"/>
    </row>
    <row r="3" spans="1:22" ht="21">
      <c r="A3" s="438" t="s">
        <v>456</v>
      </c>
      <c r="B3" s="625" t="s">
        <v>460</v>
      </c>
      <c r="C3" s="570"/>
      <c r="D3" s="570"/>
      <c r="E3" s="626"/>
      <c r="F3" s="627"/>
      <c r="G3" s="628"/>
      <c r="H3" s="628"/>
      <c r="I3" s="628"/>
      <c r="J3" s="556"/>
      <c r="K3" s="557"/>
      <c r="L3" s="624"/>
      <c r="M3" s="624"/>
      <c r="N3" s="624"/>
      <c r="O3" s="624"/>
      <c r="P3" s="624"/>
      <c r="Q3" s="624"/>
      <c r="R3" s="624"/>
      <c r="S3" s="624"/>
      <c r="T3" s="624"/>
      <c r="U3" s="624"/>
      <c r="V3" s="624"/>
    </row>
    <row r="4" spans="1:22" ht="15.75">
      <c r="A4" s="438">
        <v>23</v>
      </c>
      <c r="B4" s="565" t="s">
        <v>10</v>
      </c>
      <c r="C4" s="629" t="str">
        <f>'Start Page'!$G$3</f>
        <v>PTE </v>
      </c>
      <c r="D4" s="565"/>
      <c r="E4" s="561"/>
      <c r="F4" s="628"/>
      <c r="G4" s="628"/>
      <c r="H4" s="628"/>
      <c r="I4" s="628"/>
      <c r="J4" s="556"/>
      <c r="K4" s="624"/>
      <c r="L4" s="624"/>
      <c r="M4" s="624"/>
      <c r="N4" s="624"/>
      <c r="O4" s="624"/>
      <c r="P4" s="624"/>
      <c r="Q4" s="624"/>
      <c r="R4" s="624"/>
      <c r="S4" s="624"/>
      <c r="T4" s="624"/>
      <c r="U4" s="624"/>
      <c r="V4" s="624"/>
    </row>
    <row r="5" spans="1:22" ht="15.75">
      <c r="A5" s="438">
        <v>24</v>
      </c>
      <c r="B5" s="565" t="s">
        <v>62</v>
      </c>
      <c r="C5" s="629" t="str">
        <f>'Start Page'!$G$4</f>
        <v>2012/13</v>
      </c>
      <c r="D5" s="565"/>
      <c r="E5" s="561"/>
      <c r="F5" s="628"/>
      <c r="G5" s="628"/>
      <c r="H5" s="628"/>
      <c r="I5" s="628"/>
      <c r="J5" s="556"/>
      <c r="K5" s="557"/>
      <c r="L5" s="624"/>
      <c r="Q5" s="624"/>
      <c r="R5" s="624"/>
      <c r="S5" s="624"/>
      <c r="T5" s="624"/>
      <c r="U5" s="624"/>
      <c r="V5" s="624"/>
    </row>
    <row r="6" spans="1:22" ht="15.75">
      <c r="A6" s="438">
        <v>25</v>
      </c>
      <c r="B6" s="565" t="s">
        <v>457</v>
      </c>
      <c r="C6" s="630">
        <f>'AF model'!$C$10</f>
        <v>1.5163681375304474</v>
      </c>
      <c r="D6" s="565" t="s">
        <v>71</v>
      </c>
      <c r="E6" s="561"/>
      <c r="F6" s="628"/>
      <c r="G6" s="628"/>
      <c r="H6" s="628"/>
      <c r="I6" s="628"/>
      <c r="J6" s="556"/>
      <c r="K6" s="557"/>
      <c r="L6" s="624"/>
      <c r="Q6" s="624"/>
      <c r="R6" s="624"/>
      <c r="S6" s="624"/>
      <c r="T6" s="624"/>
      <c r="U6" s="624"/>
      <c r="V6" s="624"/>
    </row>
    <row r="7" spans="2:22" ht="15.75">
      <c r="B7" s="565"/>
      <c r="C7" s="565"/>
      <c r="D7" s="565"/>
      <c r="E7" s="561"/>
      <c r="F7" s="628"/>
      <c r="G7" s="628"/>
      <c r="H7" s="628"/>
      <c r="I7" s="628"/>
      <c r="J7" s="556"/>
      <c r="K7" s="557"/>
      <c r="L7" s="624"/>
      <c r="Q7" s="624"/>
      <c r="R7" s="624"/>
      <c r="S7" s="624"/>
      <c r="T7" s="624"/>
      <c r="U7" s="624"/>
      <c r="V7" s="624"/>
    </row>
    <row r="8" spans="2:22" ht="15.75">
      <c r="B8" s="565"/>
      <c r="C8" s="565"/>
      <c r="D8" s="565"/>
      <c r="E8" s="561"/>
      <c r="F8" s="628"/>
      <c r="G8" s="628"/>
      <c r="H8" s="628"/>
      <c r="I8" s="628"/>
      <c r="J8" s="556"/>
      <c r="K8" s="557"/>
      <c r="L8" s="624"/>
      <c r="Q8" s="624"/>
      <c r="R8" s="624"/>
      <c r="S8" s="624"/>
      <c r="T8" s="624"/>
      <c r="U8" s="624"/>
      <c r="V8" s="624"/>
    </row>
    <row r="9" spans="2:22" ht="15.75">
      <c r="B9" s="565"/>
      <c r="C9" s="565"/>
      <c r="D9" s="565"/>
      <c r="E9" s="561"/>
      <c r="F9" s="628"/>
      <c r="G9" s="628"/>
      <c r="H9" s="628"/>
      <c r="I9" s="628"/>
      <c r="J9" s="556"/>
      <c r="K9" s="557"/>
      <c r="L9" s="624"/>
      <c r="Q9" s="624"/>
      <c r="R9" s="624"/>
      <c r="S9" s="624"/>
      <c r="T9" s="624"/>
      <c r="U9" s="624"/>
      <c r="V9" s="624"/>
    </row>
    <row r="10" spans="2:22" ht="15.75">
      <c r="B10" s="565"/>
      <c r="C10" s="565"/>
      <c r="D10" s="565"/>
      <c r="E10" s="561"/>
      <c r="F10" s="628"/>
      <c r="G10" s="628"/>
      <c r="H10" s="628"/>
      <c r="I10" s="628"/>
      <c r="J10" s="556"/>
      <c r="K10" s="557"/>
      <c r="L10" s="624"/>
      <c r="Q10" s="624"/>
      <c r="R10" s="624"/>
      <c r="S10" s="624"/>
      <c r="T10" s="624"/>
      <c r="U10" s="624"/>
      <c r="V10" s="624"/>
    </row>
    <row r="11" spans="2:22" ht="15.75">
      <c r="B11" s="565"/>
      <c r="C11" s="565"/>
      <c r="D11" s="565"/>
      <c r="E11" s="561"/>
      <c r="F11" s="628"/>
      <c r="G11" s="628"/>
      <c r="H11" s="628"/>
      <c r="I11" s="628"/>
      <c r="J11" s="556"/>
      <c r="K11" s="557"/>
      <c r="L11" s="624"/>
      <c r="Q11" s="624"/>
      <c r="R11" s="624"/>
      <c r="S11" s="624"/>
      <c r="T11" s="624"/>
      <c r="U11" s="624"/>
      <c r="V11" s="624"/>
    </row>
    <row r="12" spans="2:22" ht="15.75">
      <c r="B12" s="565"/>
      <c r="C12" s="565"/>
      <c r="D12" s="565"/>
      <c r="E12" s="561"/>
      <c r="F12" s="628"/>
      <c r="G12" s="628"/>
      <c r="H12" s="628"/>
      <c r="I12" s="628"/>
      <c r="J12" s="556"/>
      <c r="K12" s="557"/>
      <c r="L12" s="624"/>
      <c r="Q12" s="624"/>
      <c r="R12" s="624"/>
      <c r="S12" s="624"/>
      <c r="T12" s="624"/>
      <c r="U12" s="624"/>
      <c r="V12" s="624"/>
    </row>
    <row r="13" spans="2:22" ht="15.75">
      <c r="B13" s="565"/>
      <c r="C13" s="565"/>
      <c r="D13" s="565"/>
      <c r="E13" s="561"/>
      <c r="F13" s="628"/>
      <c r="G13" s="628"/>
      <c r="H13" s="628"/>
      <c r="I13" s="628"/>
      <c r="J13" s="556"/>
      <c r="K13" s="557"/>
      <c r="L13" s="624"/>
      <c r="Q13" s="624"/>
      <c r="R13" s="624"/>
      <c r="S13" s="624"/>
      <c r="T13" s="624"/>
      <c r="U13" s="624"/>
      <c r="V13" s="624"/>
    </row>
    <row r="14" spans="1:22" ht="21">
      <c r="A14" s="438">
        <v>26</v>
      </c>
      <c r="B14" s="631" t="s">
        <v>16</v>
      </c>
      <c r="C14" s="632">
        <f>'RF Workings'!G60</f>
        <v>0.5646362648298121</v>
      </c>
      <c r="D14" s="553"/>
      <c r="E14" s="561"/>
      <c r="L14" s="624"/>
      <c r="Q14" s="624"/>
      <c r="R14" s="624"/>
      <c r="S14" s="624"/>
      <c r="T14" s="624"/>
      <c r="U14" s="624"/>
      <c r="V14" s="624"/>
    </row>
    <row r="15" spans="1:22" ht="15.75">
      <c r="A15" s="438"/>
      <c r="B15" s="553"/>
      <c r="C15" s="455"/>
      <c r="D15" s="553"/>
      <c r="E15" s="626"/>
      <c r="L15" s="624"/>
      <c r="Q15" s="624"/>
      <c r="R15" s="624"/>
      <c r="S15" s="624"/>
      <c r="T15" s="624"/>
      <c r="U15" s="624"/>
      <c r="V15" s="624"/>
    </row>
    <row r="16" spans="2:22" ht="15.75">
      <c r="B16" s="553"/>
      <c r="C16" s="553"/>
      <c r="D16" s="553"/>
      <c r="E16" s="633"/>
      <c r="F16" s="559"/>
      <c r="G16" s="559"/>
      <c r="H16" s="559"/>
      <c r="I16" s="559"/>
      <c r="J16" s="559"/>
      <c r="K16" s="559"/>
      <c r="L16" s="634"/>
      <c r="M16" s="559"/>
      <c r="N16" s="559"/>
      <c r="O16" s="559"/>
      <c r="P16" s="559"/>
      <c r="Q16" s="624"/>
      <c r="R16" s="624"/>
      <c r="S16" s="624"/>
      <c r="T16" s="624"/>
      <c r="U16" s="624"/>
      <c r="V16" s="624"/>
    </row>
    <row r="17" spans="1:22" ht="21">
      <c r="A17" s="438"/>
      <c r="B17" s="635"/>
      <c r="C17" s="636"/>
      <c r="D17" s="636"/>
      <c r="E17" s="637"/>
      <c r="F17" s="638"/>
      <c r="G17" s="639"/>
      <c r="H17" s="639"/>
      <c r="I17" s="639"/>
      <c r="J17" s="640"/>
      <c r="K17" s="640"/>
      <c r="L17" s="641"/>
      <c r="M17" s="626"/>
      <c r="N17" s="626"/>
      <c r="O17" s="626"/>
      <c r="Q17" s="624"/>
      <c r="R17" s="624"/>
      <c r="S17" s="624"/>
      <c r="T17" s="624"/>
      <c r="U17" s="624"/>
      <c r="V17" s="624"/>
    </row>
    <row r="18" spans="2:22" ht="15.75">
      <c r="B18" s="570"/>
      <c r="C18" s="642"/>
      <c r="D18" s="642"/>
      <c r="E18" s="643"/>
      <c r="F18" s="639"/>
      <c r="G18" s="639"/>
      <c r="H18" s="639"/>
      <c r="I18" s="639"/>
      <c r="J18" s="640"/>
      <c r="K18" s="640"/>
      <c r="L18" s="641"/>
      <c r="M18" s="626"/>
      <c r="N18" s="626"/>
      <c r="O18" s="626"/>
      <c r="Q18" s="624"/>
      <c r="R18" s="624"/>
      <c r="S18" s="624"/>
      <c r="T18" s="624"/>
      <c r="U18" s="624"/>
      <c r="V18" s="624"/>
    </row>
    <row r="19" spans="1:22" ht="15.75">
      <c r="A19" s="438"/>
      <c r="B19" s="644"/>
      <c r="C19" s="456"/>
      <c r="D19" s="457"/>
      <c r="E19" s="643"/>
      <c r="F19" s="639"/>
      <c r="G19" s="639"/>
      <c r="H19" s="639"/>
      <c r="I19" s="639"/>
      <c r="J19" s="640"/>
      <c r="K19" s="645"/>
      <c r="L19" s="641"/>
      <c r="M19" s="626"/>
      <c r="N19" s="626"/>
      <c r="O19" s="626"/>
      <c r="Q19" s="624"/>
      <c r="R19" s="624"/>
      <c r="S19" s="624"/>
      <c r="T19" s="624"/>
      <c r="U19" s="624"/>
      <c r="V19" s="624"/>
    </row>
    <row r="20" spans="1:22" ht="15.75">
      <c r="A20" s="438"/>
      <c r="B20" s="570"/>
      <c r="C20" s="458"/>
      <c r="D20" s="458"/>
      <c r="E20" s="643"/>
      <c r="F20" s="639"/>
      <c r="G20" s="639"/>
      <c r="H20" s="639"/>
      <c r="I20" s="639"/>
      <c r="J20" s="640"/>
      <c r="K20" s="640"/>
      <c r="L20" s="641"/>
      <c r="M20" s="626"/>
      <c r="N20" s="626"/>
      <c r="O20" s="626"/>
      <c r="R20" s="624"/>
      <c r="S20" s="624"/>
      <c r="T20" s="624"/>
      <c r="U20" s="624"/>
      <c r="V20" s="624"/>
    </row>
    <row r="21" spans="1:22" ht="15.75">
      <c r="A21" s="438"/>
      <c r="B21" s="570"/>
      <c r="C21" s="458"/>
      <c r="D21" s="646"/>
      <c r="E21" s="647"/>
      <c r="F21" s="639"/>
      <c r="G21" s="639"/>
      <c r="H21" s="639"/>
      <c r="I21" s="639"/>
      <c r="J21" s="640"/>
      <c r="K21" s="640"/>
      <c r="L21" s="641"/>
      <c r="M21" s="626"/>
      <c r="N21" s="626"/>
      <c r="O21" s="626"/>
      <c r="R21" s="624"/>
      <c r="S21" s="624"/>
      <c r="T21" s="624"/>
      <c r="U21" s="624"/>
      <c r="V21" s="624"/>
    </row>
    <row r="22" spans="2:22" ht="15.75">
      <c r="B22" s="570"/>
      <c r="C22" s="458"/>
      <c r="D22" s="570"/>
      <c r="E22" s="626"/>
      <c r="F22" s="648"/>
      <c r="G22" s="648"/>
      <c r="H22" s="648"/>
      <c r="I22" s="648"/>
      <c r="J22" s="643"/>
      <c r="K22" s="643"/>
      <c r="L22" s="641"/>
      <c r="M22" s="649"/>
      <c r="N22" s="650"/>
      <c r="O22" s="651"/>
      <c r="P22" s="652"/>
      <c r="Q22" s="652"/>
      <c r="R22" s="652"/>
      <c r="S22" s="652"/>
      <c r="T22" s="652"/>
      <c r="U22" s="652"/>
      <c r="V22" s="652"/>
    </row>
    <row r="23" spans="4:22" ht="15.75">
      <c r="D23" s="653"/>
      <c r="E23" s="643"/>
      <c r="F23" s="654"/>
      <c r="G23" s="654"/>
      <c r="H23" s="654"/>
      <c r="I23" s="654"/>
      <c r="J23" s="626"/>
      <c r="K23" s="626"/>
      <c r="L23" s="641"/>
      <c r="M23" s="655"/>
      <c r="N23" s="656"/>
      <c r="O23" s="641"/>
      <c r="P23" s="624"/>
      <c r="Q23" s="624"/>
      <c r="R23" s="624"/>
      <c r="S23" s="624"/>
      <c r="T23" s="624"/>
      <c r="U23" s="624"/>
      <c r="V23" s="624"/>
    </row>
    <row r="24" spans="1:22" ht="15.75">
      <c r="A24" s="438"/>
      <c r="B24" s="570"/>
      <c r="C24" s="657"/>
      <c r="D24" s="460"/>
      <c r="E24" s="626"/>
      <c r="F24" s="648"/>
      <c r="G24" s="648"/>
      <c r="H24" s="648"/>
      <c r="I24" s="648"/>
      <c r="J24" s="643"/>
      <c r="K24" s="643"/>
      <c r="L24" s="641"/>
      <c r="M24" s="655"/>
      <c r="N24" s="656"/>
      <c r="O24" s="641"/>
      <c r="P24" s="624"/>
      <c r="Q24" s="624"/>
      <c r="R24" s="624"/>
      <c r="S24" s="624"/>
      <c r="T24" s="624"/>
      <c r="U24" s="624"/>
      <c r="V24" s="624"/>
    </row>
    <row r="25" spans="1:22" ht="15.75">
      <c r="A25" s="438"/>
      <c r="B25" s="570"/>
      <c r="C25" s="657"/>
      <c r="D25" s="460"/>
      <c r="E25" s="626"/>
      <c r="F25" s="648"/>
      <c r="G25" s="648"/>
      <c r="H25" s="648"/>
      <c r="I25" s="648"/>
      <c r="J25" s="643"/>
      <c r="K25" s="643"/>
      <c r="L25" s="641"/>
      <c r="M25" s="655"/>
      <c r="N25" s="656"/>
      <c r="O25" s="641"/>
      <c r="P25" s="624"/>
      <c r="Q25" s="624"/>
      <c r="R25" s="624"/>
      <c r="S25" s="624"/>
      <c r="T25" s="624"/>
      <c r="U25" s="624"/>
      <c r="V25" s="624"/>
    </row>
    <row r="26" spans="1:22" ht="15.75">
      <c r="A26" s="438"/>
      <c r="B26" s="559"/>
      <c r="C26" s="559"/>
      <c r="D26" s="658"/>
      <c r="E26" s="659"/>
      <c r="F26" s="654"/>
      <c r="G26" s="654"/>
      <c r="H26" s="654"/>
      <c r="I26" s="654"/>
      <c r="J26" s="626"/>
      <c r="K26" s="626"/>
      <c r="L26" s="641"/>
      <c r="M26" s="655"/>
      <c r="N26" s="656"/>
      <c r="O26" s="641"/>
      <c r="P26" s="624"/>
      <c r="Q26" s="624"/>
      <c r="R26" s="624"/>
      <c r="S26" s="624"/>
      <c r="T26" s="624"/>
      <c r="U26" s="624"/>
      <c r="V26" s="624"/>
    </row>
    <row r="27" spans="2:22" ht="15.75">
      <c r="B27" s="570"/>
      <c r="C27" s="660"/>
      <c r="D27" s="626"/>
      <c r="E27" s="626"/>
      <c r="F27" s="648"/>
      <c r="G27" s="648"/>
      <c r="H27" s="648"/>
      <c r="I27" s="648"/>
      <c r="J27" s="643"/>
      <c r="K27" s="643"/>
      <c r="L27" s="641"/>
      <c r="M27" s="655"/>
      <c r="N27" s="656"/>
      <c r="O27" s="641"/>
      <c r="P27" s="624"/>
      <c r="Q27" s="624"/>
      <c r="R27" s="624"/>
      <c r="S27" s="624"/>
      <c r="T27" s="624"/>
      <c r="U27" s="624"/>
      <c r="V27" s="624"/>
    </row>
    <row r="28" spans="2:22" ht="21">
      <c r="B28" s="625" t="s">
        <v>459</v>
      </c>
      <c r="C28" s="559"/>
      <c r="D28" s="660"/>
      <c r="E28" s="626"/>
      <c r="F28" s="648"/>
      <c r="G28" s="648"/>
      <c r="H28" s="648"/>
      <c r="I28" s="648"/>
      <c r="J28" s="643"/>
      <c r="K28" s="643"/>
      <c r="L28" s="641"/>
      <c r="M28" s="655"/>
      <c r="N28" s="656"/>
      <c r="O28" s="641"/>
      <c r="P28" s="624"/>
      <c r="Q28" s="624"/>
      <c r="R28" s="624"/>
      <c r="S28" s="624"/>
      <c r="T28" s="624"/>
      <c r="U28" s="624"/>
      <c r="V28" s="624"/>
    </row>
    <row r="29" spans="2:22" ht="15.75">
      <c r="B29" s="570"/>
      <c r="C29" s="660"/>
      <c r="D29" s="626"/>
      <c r="E29" s="626"/>
      <c r="F29" s="648"/>
      <c r="G29" s="648"/>
      <c r="H29" s="648"/>
      <c r="I29" s="648"/>
      <c r="J29" s="643"/>
      <c r="K29" s="643"/>
      <c r="L29" s="641"/>
      <c r="M29" s="655"/>
      <c r="N29" s="656"/>
      <c r="O29" s="641"/>
      <c r="P29" s="624"/>
      <c r="Q29" s="624"/>
      <c r="R29" s="624"/>
      <c r="S29" s="624"/>
      <c r="T29" s="624"/>
      <c r="U29" s="624"/>
      <c r="V29" s="624"/>
    </row>
    <row r="30" spans="1:22" ht="37.5">
      <c r="A30" s="438">
        <v>27</v>
      </c>
      <c r="B30" s="661" t="s">
        <v>461</v>
      </c>
      <c r="C30" s="548"/>
      <c r="D30" s="660"/>
      <c r="E30" s="626"/>
      <c r="F30" s="626"/>
      <c r="G30" s="626"/>
      <c r="H30" s="626"/>
      <c r="I30" s="626"/>
      <c r="J30" s="626"/>
      <c r="K30" s="626"/>
      <c r="L30" s="641"/>
      <c r="M30" s="655"/>
      <c r="N30" s="656"/>
      <c r="O30" s="641"/>
      <c r="P30" s="624"/>
      <c r="Q30" s="624"/>
      <c r="R30" s="624"/>
      <c r="S30" s="624"/>
      <c r="T30" s="624"/>
      <c r="U30" s="624"/>
      <c r="V30" s="624"/>
    </row>
    <row r="31" spans="2:22" ht="15.75">
      <c r="B31" s="570"/>
      <c r="C31" s="660"/>
      <c r="D31" s="660"/>
      <c r="E31" s="626"/>
      <c r="F31" s="626"/>
      <c r="G31" s="626"/>
      <c r="H31" s="626"/>
      <c r="I31" s="626"/>
      <c r="J31" s="626"/>
      <c r="K31" s="626"/>
      <c r="L31" s="641"/>
      <c r="M31" s="655"/>
      <c r="N31" s="656"/>
      <c r="O31" s="641"/>
      <c r="P31" s="624"/>
      <c r="Q31" s="624"/>
      <c r="R31" s="624"/>
      <c r="S31" s="624"/>
      <c r="T31" s="624"/>
      <c r="U31" s="624"/>
      <c r="V31" s="624"/>
    </row>
    <row r="32" spans="2:22" ht="15.75">
      <c r="B32" s="553"/>
      <c r="C32" s="662"/>
      <c r="D32" s="662"/>
      <c r="L32" s="624"/>
      <c r="M32" s="663"/>
      <c r="N32" s="664"/>
      <c r="O32" s="624"/>
      <c r="P32" s="624"/>
      <c r="Q32" s="624"/>
      <c r="R32" s="624"/>
      <c r="S32" s="624"/>
      <c r="T32" s="624"/>
      <c r="U32" s="624"/>
      <c r="V32" s="624"/>
    </row>
    <row r="33" spans="1:22" ht="18.75">
      <c r="A33" s="438">
        <v>28</v>
      </c>
      <c r="B33" s="569" t="s">
        <v>462</v>
      </c>
      <c r="C33" s="798"/>
      <c r="D33" s="662"/>
      <c r="L33" s="624"/>
      <c r="M33" s="663"/>
      <c r="N33" s="664"/>
      <c r="O33" s="624"/>
      <c r="P33" s="624"/>
      <c r="Q33" s="624"/>
      <c r="R33" s="624"/>
      <c r="S33" s="624"/>
      <c r="T33" s="624"/>
      <c r="U33" s="624"/>
      <c r="V33" s="624"/>
    </row>
    <row r="34" spans="2:22" ht="15.75">
      <c r="B34" s="553"/>
      <c r="C34" s="662"/>
      <c r="D34" s="662"/>
      <c r="L34" s="624"/>
      <c r="M34" s="663"/>
      <c r="N34" s="664"/>
      <c r="O34" s="624"/>
      <c r="P34" s="624"/>
      <c r="Q34" s="624"/>
      <c r="R34" s="624"/>
      <c r="S34" s="624"/>
      <c r="T34" s="624"/>
      <c r="U34" s="624"/>
      <c r="V34" s="624"/>
    </row>
    <row r="35" spans="1:22" ht="15.75">
      <c r="A35" s="438">
        <v>29</v>
      </c>
      <c r="B35" s="553" t="s">
        <v>450</v>
      </c>
      <c r="C35" s="549"/>
      <c r="D35" s="662"/>
      <c r="L35" s="624"/>
      <c r="M35" s="663"/>
      <c r="N35" s="664"/>
      <c r="O35" s="624"/>
      <c r="P35" s="624"/>
      <c r="Q35" s="624"/>
      <c r="R35" s="624"/>
      <c r="S35" s="624"/>
      <c r="T35" s="624"/>
      <c r="U35" s="624"/>
      <c r="V35" s="624"/>
    </row>
    <row r="36" spans="1:22" ht="15.75">
      <c r="A36" s="438">
        <v>30</v>
      </c>
      <c r="B36" s="553" t="s">
        <v>451</v>
      </c>
      <c r="C36" s="550"/>
      <c r="D36" s="662"/>
      <c r="L36" s="624"/>
      <c r="M36" s="624"/>
      <c r="N36" s="624"/>
      <c r="O36" s="624"/>
      <c r="P36" s="624"/>
      <c r="Q36" s="624"/>
      <c r="R36" s="624"/>
      <c r="S36" s="624"/>
      <c r="T36" s="624"/>
      <c r="U36" s="624"/>
      <c r="V36" s="624"/>
    </row>
    <row r="37" spans="3:22" ht="15.75">
      <c r="C37" s="665"/>
      <c r="D37" s="665"/>
      <c r="L37" s="624"/>
      <c r="M37" s="624"/>
      <c r="N37" s="624"/>
      <c r="O37" s="624"/>
      <c r="P37" s="624"/>
      <c r="Q37" s="624"/>
      <c r="R37" s="624"/>
      <c r="S37" s="624"/>
      <c r="T37" s="624"/>
      <c r="U37" s="624"/>
      <c r="V37" s="624"/>
    </row>
    <row r="38" spans="1:4" s="559" customFormat="1" ht="18.75">
      <c r="A38" s="438">
        <v>31</v>
      </c>
      <c r="B38" s="569" t="s">
        <v>458</v>
      </c>
      <c r="C38" s="666"/>
      <c r="D38" s="666"/>
    </row>
    <row r="39" spans="1:4" s="557" customFormat="1" ht="15.75">
      <c r="A39" s="438">
        <v>32</v>
      </c>
      <c r="B39" s="660" t="s">
        <v>312</v>
      </c>
      <c r="C39" s="551"/>
      <c r="D39" s="667"/>
    </row>
    <row r="40" spans="2:3" ht="15.75">
      <c r="B40" s="660" t="s">
        <v>232</v>
      </c>
      <c r="C40" s="799">
        <f>IF(C4="Non-PTE",'RF Workings'!$G$36,'RF Workings'!$F$36)</f>
        <v>0.2581668535738979</v>
      </c>
    </row>
    <row r="41" spans="2:3" ht="15.75">
      <c r="B41" s="553"/>
      <c r="C41" s="668"/>
    </row>
    <row r="42" spans="1:2" s="559" customFormat="1" ht="18.75">
      <c r="A42" s="438">
        <v>33</v>
      </c>
      <c r="B42" s="569" t="s">
        <v>315</v>
      </c>
    </row>
    <row r="48" spans="1:5" s="559" customFormat="1" ht="15.75">
      <c r="A48" s="438">
        <v>34</v>
      </c>
      <c r="B48" s="660" t="s">
        <v>452</v>
      </c>
      <c r="C48" s="552"/>
      <c r="E48" s="643"/>
    </row>
  </sheetData>
  <sheetProtection formatCells="0" formatColumns="0" formatRows="0" insertColumns="0" insertRows="0" insertHyperlinks="0" deleteColumns="0" deleteRows="0" sort="0" autoFilter="0" pivotTables="0"/>
  <conditionalFormatting sqref="C48">
    <cfRule type="cellIs" priority="1" dxfId="1" operator="notEqual" stopIfTrue="1">
      <formula>""""""</formula>
    </cfRule>
  </conditionalFormatting>
  <dataValidations count="1">
    <dataValidation type="list" allowBlank="1" showInputMessage="1" showErrorMessage="1" sqref="C8:C11">
      <formula1>IntVar</formula1>
    </dataValidation>
  </dataValidations>
  <hyperlinks>
    <hyperlink ref="A1" location="Instructions!A48" display="22a"/>
    <hyperlink ref="A3" location="Instructions!A50" display="Instructions!A50"/>
    <hyperlink ref="A4" location="Instructions!A51" display="Instructions!A51"/>
    <hyperlink ref="A5" location="Instructions!A52" display="Instructions!A52"/>
    <hyperlink ref="A6" location="Instructions!A53" display="Instructions!A53"/>
    <hyperlink ref="A14" location="Instructions!A54" display="Instructions!A54"/>
    <hyperlink ref="A30" location="Instructions!A55" display="Instructions!A55"/>
    <hyperlink ref="A33" location="Instructions!A56" display="Instructions!A56"/>
    <hyperlink ref="A35" location="Instructions!A57" display="Instructions!A57"/>
    <hyperlink ref="A36" location="Instructions!A58" display="Instructions!A58"/>
    <hyperlink ref="A38" location="Instructions!A59" display="Instructions!A59"/>
    <hyperlink ref="A39" location="Instructions!A60" display="Instructions!A60"/>
    <hyperlink ref="A42" location="Instructions!A61" display="Instructions!A61"/>
    <hyperlink ref="A48" location="Instructions!A62" display="Instructions!A62"/>
  </hyperlinks>
  <printOptions gridLines="1" headings="1"/>
  <pageMargins left="0.2" right="0.19" top="0.39" bottom="0.23" header="0.17" footer="0.16"/>
  <pageSetup horizontalDpi="600" verticalDpi="600" orientation="landscape" paperSize="9" scale="60" r:id="rId2"/>
  <legacyDrawing r:id="rId1"/>
</worksheet>
</file>

<file path=xl/worksheets/sheet5.xml><?xml version="1.0" encoding="utf-8"?>
<worksheet xmlns="http://schemas.openxmlformats.org/spreadsheetml/2006/main" xmlns:r="http://schemas.openxmlformats.org/officeDocument/2006/relationships">
  <sheetPr codeName="Sheet6">
    <tabColor indexed="51"/>
  </sheetPr>
  <dimension ref="A1:T131"/>
  <sheetViews>
    <sheetView showGridLines="0" zoomScalePageLayoutView="0" workbookViewId="0" topLeftCell="A10">
      <selection activeCell="E14" sqref="E14"/>
    </sheetView>
  </sheetViews>
  <sheetFormatPr defaultColWidth="9.140625" defaultRowHeight="15"/>
  <cols>
    <col min="1" max="1" width="7.8515625" style="141" customWidth="1"/>
    <col min="2" max="2" width="48.421875" style="316" customWidth="1"/>
    <col min="3" max="3" width="29.421875" style="141" customWidth="1"/>
    <col min="4" max="4" width="17.421875" style="316" customWidth="1"/>
    <col min="5" max="5" width="9.57421875" style="316" bestFit="1" customWidth="1"/>
    <col min="6" max="6" width="14.8515625" style="316" customWidth="1"/>
    <col min="7" max="16384" width="9.140625" style="316" customWidth="1"/>
  </cols>
  <sheetData>
    <row r="1" spans="1:12" s="463" customFormat="1" ht="28.5">
      <c r="A1" s="146">
        <v>35</v>
      </c>
      <c r="B1" s="306" t="s">
        <v>69</v>
      </c>
      <c r="C1" s="307"/>
      <c r="D1" s="308"/>
      <c r="E1" s="309"/>
      <c r="F1" s="308"/>
      <c r="G1" s="461"/>
      <c r="H1" s="461"/>
      <c r="I1" s="461"/>
      <c r="J1" s="461"/>
      <c r="K1" s="462"/>
      <c r="L1" s="462"/>
    </row>
    <row r="2" spans="1:12" s="463" customFormat="1" ht="15.75" thickBot="1">
      <c r="A2" s="464"/>
      <c r="B2" s="310"/>
      <c r="C2" s="311"/>
      <c r="D2" s="312"/>
      <c r="E2" s="312"/>
      <c r="F2" s="312"/>
      <c r="G2" s="316"/>
      <c r="H2" s="316"/>
      <c r="I2" s="316"/>
      <c r="J2" s="316"/>
      <c r="K2" s="462"/>
      <c r="L2" s="462"/>
    </row>
    <row r="3" spans="1:6" ht="15.75" thickBot="1">
      <c r="A3" s="146">
        <v>36</v>
      </c>
      <c r="B3" s="313" t="s">
        <v>115</v>
      </c>
      <c r="C3" s="314"/>
      <c r="D3" s="315" t="str">
        <f>'Start Page'!$G$4</f>
        <v>2012/13</v>
      </c>
      <c r="F3" s="312"/>
    </row>
    <row r="4" spans="1:6" ht="15.75" thickBot="1">
      <c r="A4" s="146"/>
      <c r="B4" s="313" t="s">
        <v>233</v>
      </c>
      <c r="C4" s="314"/>
      <c r="D4" s="315" t="str">
        <f>'Start Page'!$G$3</f>
        <v>PTE </v>
      </c>
      <c r="F4" s="312"/>
    </row>
    <row r="5" spans="1:6" ht="15">
      <c r="A5" s="146"/>
      <c r="B5" s="317"/>
      <c r="C5" s="318"/>
      <c r="D5" s="319"/>
      <c r="F5" s="312"/>
    </row>
    <row r="6" spans="1:6" s="221" customFormat="1" ht="15.75" thickBot="1">
      <c r="A6" s="147"/>
      <c r="B6" s="317"/>
      <c r="C6" s="318"/>
      <c r="D6" s="320"/>
      <c r="F6" s="231"/>
    </row>
    <row r="7" spans="1:6" s="221" customFormat="1" ht="21.75" thickBot="1">
      <c r="A7" s="146">
        <v>37</v>
      </c>
      <c r="B7" s="321" t="s">
        <v>244</v>
      </c>
      <c r="C7" s="322"/>
      <c r="D7" s="323"/>
      <c r="F7" s="231"/>
    </row>
    <row r="8" spans="1:6" s="221" customFormat="1" ht="15">
      <c r="A8" s="465"/>
      <c r="B8" s="324"/>
      <c r="C8" s="325"/>
      <c r="D8" s="326"/>
      <c r="F8" s="231"/>
    </row>
    <row r="9" spans="1:6" ht="15.75" thickBot="1">
      <c r="A9" s="146">
        <v>38</v>
      </c>
      <c r="B9" s="466" t="s">
        <v>331</v>
      </c>
      <c r="C9" s="467"/>
      <c r="D9" s="431">
        <v>0</v>
      </c>
      <c r="E9" s="221"/>
      <c r="F9" s="468"/>
    </row>
    <row r="10" spans="1:6" s="221" customFormat="1" ht="15">
      <c r="A10" s="147"/>
      <c r="B10" s="317"/>
      <c r="C10" s="318"/>
      <c r="D10" s="320"/>
      <c r="F10" s="231"/>
    </row>
    <row r="11" spans="1:6" s="221" customFormat="1" ht="15.75" thickBot="1">
      <c r="A11" s="465"/>
      <c r="B11" s="246"/>
      <c r="C11" s="325"/>
      <c r="D11" s="246"/>
      <c r="F11" s="231"/>
    </row>
    <row r="12" spans="1:6" s="221" customFormat="1" ht="21.75" thickBot="1">
      <c r="A12" s="146">
        <v>39</v>
      </c>
      <c r="B12" s="321" t="s">
        <v>324</v>
      </c>
      <c r="C12" s="322"/>
      <c r="D12" s="327"/>
      <c r="F12" s="231"/>
    </row>
    <row r="13" spans="1:17" s="463" customFormat="1" ht="15">
      <c r="A13" s="465"/>
      <c r="B13" s="324"/>
      <c r="C13" s="246"/>
      <c r="D13" s="328"/>
      <c r="E13" s="221"/>
      <c r="F13" s="231"/>
      <c r="G13" s="221"/>
      <c r="H13" s="221"/>
      <c r="I13" s="462"/>
      <c r="J13" s="462"/>
      <c r="N13" s="462"/>
      <c r="O13" s="462"/>
      <c r="P13" s="462"/>
      <c r="Q13" s="462"/>
    </row>
    <row r="14" spans="1:17" s="463" customFormat="1" ht="15">
      <c r="A14" s="146">
        <v>40</v>
      </c>
      <c r="B14" s="331" t="s">
        <v>325</v>
      </c>
      <c r="C14" s="469"/>
      <c r="D14" s="470">
        <f>0.055*(VLOOKUP('Start Page'!G4,'RF Workings'!$E$3:$G$13,2,TRUE)/'RF Workings'!$F$7)</f>
        <v>0.06086343612334802</v>
      </c>
      <c r="E14" s="316"/>
      <c r="F14" s="316"/>
      <c r="G14" s="316"/>
      <c r="H14" s="316"/>
      <c r="I14" s="462"/>
      <c r="J14" s="462"/>
      <c r="N14" s="462"/>
      <c r="O14" s="462"/>
      <c r="P14" s="462"/>
      <c r="Q14" s="462"/>
    </row>
    <row r="15" spans="1:17" s="463" customFormat="1" ht="15">
      <c r="A15" s="146">
        <v>41</v>
      </c>
      <c r="B15" s="331" t="s">
        <v>326</v>
      </c>
      <c r="C15" s="329" t="s">
        <v>466</v>
      </c>
      <c r="D15" s="330">
        <f>IF(C15="Use Default Trip Length",3.9,"")</f>
        <v>3.9</v>
      </c>
      <c r="E15" s="316"/>
      <c r="F15" s="316"/>
      <c r="G15" s="316"/>
      <c r="H15" s="316"/>
      <c r="I15" s="462"/>
      <c r="J15" s="462"/>
      <c r="N15" s="462"/>
      <c r="O15" s="462"/>
      <c r="P15" s="462"/>
      <c r="Q15" s="462"/>
    </row>
    <row r="16" spans="1:17" s="463" customFormat="1" ht="15">
      <c r="A16" s="464"/>
      <c r="B16" s="471"/>
      <c r="C16" s="332">
        <f>IF(C15="Vary by local trip length","Enter Local Trip Length","")</f>
      </c>
      <c r="D16" s="333"/>
      <c r="E16" s="221"/>
      <c r="F16" s="221"/>
      <c r="G16" s="221"/>
      <c r="H16" s="221"/>
      <c r="I16" s="462"/>
      <c r="J16" s="462"/>
      <c r="N16" s="462"/>
      <c r="O16" s="462"/>
      <c r="P16" s="462"/>
      <c r="Q16" s="462"/>
    </row>
    <row r="17" spans="1:17" s="463" customFormat="1" ht="15">
      <c r="A17" s="146">
        <v>42</v>
      </c>
      <c r="B17" s="331" t="s">
        <v>327</v>
      </c>
      <c r="C17" s="472"/>
      <c r="D17" s="470">
        <f>IF(C15="Use default trip length",0.006,0.006*(D16/3.9))*(VLOOKUP('Start Page'!G4,'RF Workings'!$E$3:$G$13,2)/'RF Workings'!$F$7)</f>
        <v>0.006639647577092511</v>
      </c>
      <c r="E17" s="316"/>
      <c r="F17" s="316"/>
      <c r="G17" s="316"/>
      <c r="H17" s="316"/>
      <c r="I17" s="462"/>
      <c r="J17" s="462"/>
      <c r="N17" s="462"/>
      <c r="O17" s="462"/>
      <c r="P17" s="462"/>
      <c r="Q17" s="462"/>
    </row>
    <row r="18" spans="1:17" s="463" customFormat="1" ht="16.5" thickBot="1">
      <c r="A18" s="146">
        <v>43</v>
      </c>
      <c r="B18" s="334" t="s">
        <v>101</v>
      </c>
      <c r="C18" s="335"/>
      <c r="D18" s="819">
        <f>D17+D14</f>
        <v>0.06750308370044053</v>
      </c>
      <c r="E18" s="221"/>
      <c r="F18" s="221"/>
      <c r="G18" s="221"/>
      <c r="H18" s="221"/>
      <c r="I18" s="462"/>
      <c r="J18" s="462"/>
      <c r="N18" s="462"/>
      <c r="O18" s="462"/>
      <c r="P18" s="462"/>
      <c r="Q18" s="462"/>
    </row>
    <row r="19" spans="1:17" s="463" customFormat="1" ht="15">
      <c r="A19" s="464"/>
      <c r="B19" s="336"/>
      <c r="C19" s="337"/>
      <c r="D19" s="338"/>
      <c r="E19" s="316"/>
      <c r="F19" s="316"/>
      <c r="G19" s="316"/>
      <c r="H19" s="316"/>
      <c r="I19" s="462"/>
      <c r="J19" s="462"/>
      <c r="N19" s="462"/>
      <c r="O19" s="462"/>
      <c r="P19" s="462"/>
      <c r="Q19" s="462"/>
    </row>
    <row r="20" spans="1:17" s="463" customFormat="1" ht="15.75" thickBot="1">
      <c r="A20" s="464"/>
      <c r="B20" s="336"/>
      <c r="C20" s="337"/>
      <c r="D20" s="338"/>
      <c r="E20" s="316"/>
      <c r="F20" s="316"/>
      <c r="G20" s="316"/>
      <c r="H20" s="316"/>
      <c r="I20" s="462"/>
      <c r="J20" s="462"/>
      <c r="N20" s="462"/>
      <c r="O20" s="462"/>
      <c r="P20" s="462"/>
      <c r="Q20" s="462"/>
    </row>
    <row r="21" spans="1:17" s="463" customFormat="1" ht="21.75" thickBot="1">
      <c r="A21" s="473"/>
      <c r="B21" s="321" t="s">
        <v>102</v>
      </c>
      <c r="C21" s="322"/>
      <c r="D21" s="327"/>
      <c r="E21" s="221"/>
      <c r="F21" s="221"/>
      <c r="G21" s="221"/>
      <c r="H21" s="221"/>
      <c r="I21" s="462"/>
      <c r="J21" s="462"/>
      <c r="N21" s="462"/>
      <c r="O21" s="462"/>
      <c r="P21" s="462"/>
      <c r="Q21" s="462"/>
    </row>
    <row r="22" spans="1:17" s="463" customFormat="1" ht="15">
      <c r="A22" s="473"/>
      <c r="B22" s="474"/>
      <c r="C22" s="475"/>
      <c r="D22" s="476"/>
      <c r="I22" s="462"/>
      <c r="J22" s="462"/>
      <c r="N22" s="462"/>
      <c r="O22" s="462"/>
      <c r="P22" s="462"/>
      <c r="Q22" s="462"/>
    </row>
    <row r="23" spans="1:17" s="463" customFormat="1" ht="15">
      <c r="A23" s="146">
        <v>44</v>
      </c>
      <c r="B23" s="477"/>
      <c r="C23" s="318"/>
      <c r="D23" s="478"/>
      <c r="E23" s="221"/>
      <c r="F23" s="221"/>
      <c r="G23" s="221"/>
      <c r="H23" s="221"/>
      <c r="I23" s="462"/>
      <c r="J23" s="462"/>
      <c r="N23" s="462"/>
      <c r="O23" s="462"/>
      <c r="P23" s="462"/>
      <c r="Q23" s="462"/>
    </row>
    <row r="24" spans="1:17" s="463" customFormat="1" ht="15">
      <c r="A24" s="473"/>
      <c r="B24" s="474"/>
      <c r="C24" s="475"/>
      <c r="D24" s="479"/>
      <c r="E24" s="221"/>
      <c r="F24" s="221"/>
      <c r="G24" s="221"/>
      <c r="H24" s="221"/>
      <c r="I24" s="462"/>
      <c r="J24" s="462"/>
      <c r="N24" s="462"/>
      <c r="O24" s="462"/>
      <c r="P24" s="462"/>
      <c r="Q24" s="462"/>
    </row>
    <row r="25" spans="1:17" s="463" customFormat="1" ht="15.75" thickBot="1">
      <c r="A25" s="473"/>
      <c r="B25" s="480"/>
      <c r="C25" s="481"/>
      <c r="D25" s="482"/>
      <c r="E25" s="221"/>
      <c r="F25" s="221"/>
      <c r="G25" s="221"/>
      <c r="H25" s="221"/>
      <c r="I25" s="462"/>
      <c r="J25" s="462"/>
      <c r="N25" s="462"/>
      <c r="O25" s="462"/>
      <c r="P25" s="462"/>
      <c r="Q25" s="462"/>
    </row>
    <row r="26" spans="1:17" s="463" customFormat="1" ht="15">
      <c r="A26" s="464"/>
      <c r="B26" s="483"/>
      <c r="C26" s="475"/>
      <c r="D26" s="483"/>
      <c r="N26" s="462"/>
      <c r="O26" s="462"/>
      <c r="P26" s="462"/>
      <c r="Q26" s="462"/>
    </row>
    <row r="27" spans="1:20" s="21" customFormat="1" ht="15.75" thickBot="1">
      <c r="A27" s="148"/>
      <c r="B27" s="340"/>
      <c r="C27" s="340"/>
      <c r="D27" s="340"/>
      <c r="Q27" s="41"/>
      <c r="R27" s="41"/>
      <c r="S27" s="41"/>
      <c r="T27" s="41"/>
    </row>
    <row r="28" spans="1:20" s="21" customFormat="1" ht="21.75" thickBot="1">
      <c r="A28" s="484">
        <v>45</v>
      </c>
      <c r="B28" s="341" t="s">
        <v>64</v>
      </c>
      <c r="C28" s="342"/>
      <c r="D28" s="343"/>
      <c r="Q28" s="41"/>
      <c r="R28" s="41"/>
      <c r="S28" s="41"/>
      <c r="T28" s="41"/>
    </row>
    <row r="29" spans="1:20" s="21" customFormat="1" ht="15.75" thickBot="1">
      <c r="A29" s="485">
        <v>46</v>
      </c>
      <c r="B29" s="344" t="s">
        <v>330</v>
      </c>
      <c r="C29" s="345"/>
      <c r="D29" s="431">
        <v>0</v>
      </c>
      <c r="Q29" s="41"/>
      <c r="R29" s="41"/>
      <c r="S29" s="41"/>
      <c r="T29" s="41"/>
    </row>
    <row r="30" spans="1:20" s="21" customFormat="1" ht="15">
      <c r="A30" s="52"/>
      <c r="Q30" s="41"/>
      <c r="R30" s="41"/>
      <c r="S30" s="41"/>
      <c r="T30" s="41"/>
    </row>
    <row r="31" spans="1:20" s="21" customFormat="1" ht="15">
      <c r="A31" s="52"/>
      <c r="Q31" s="41"/>
      <c r="R31" s="41"/>
      <c r="S31" s="41"/>
      <c r="T31" s="41"/>
    </row>
    <row r="32" spans="1:20" s="21" customFormat="1" ht="15">
      <c r="A32" s="52"/>
      <c r="Q32" s="41"/>
      <c r="R32" s="41"/>
      <c r="S32" s="41"/>
      <c r="T32" s="41"/>
    </row>
    <row r="33" spans="1:20" s="21" customFormat="1" ht="15">
      <c r="A33" s="52"/>
      <c r="Q33" s="41"/>
      <c r="R33" s="41"/>
      <c r="S33" s="41"/>
      <c r="T33" s="41"/>
    </row>
    <row r="34" spans="1:20" s="21" customFormat="1" ht="15">
      <c r="A34" s="52"/>
      <c r="Q34" s="41"/>
      <c r="R34" s="41"/>
      <c r="S34" s="41"/>
      <c r="T34" s="41"/>
    </row>
    <row r="35" spans="1:20" s="21" customFormat="1" ht="15">
      <c r="A35" s="52"/>
      <c r="Q35" s="41"/>
      <c r="R35" s="41"/>
      <c r="S35" s="41"/>
      <c r="T35" s="41"/>
    </row>
    <row r="36" spans="1:20" s="21" customFormat="1" ht="15">
      <c r="A36" s="52"/>
      <c r="Q36" s="41"/>
      <c r="R36" s="41"/>
      <c r="S36" s="41"/>
      <c r="T36" s="41"/>
    </row>
    <row r="37" spans="1:20" s="21" customFormat="1" ht="15">
      <c r="A37" s="52"/>
      <c r="Q37" s="41"/>
      <c r="R37" s="41"/>
      <c r="S37" s="41"/>
      <c r="T37" s="41"/>
    </row>
    <row r="38" spans="1:20" s="21" customFormat="1" ht="15">
      <c r="A38" s="52"/>
      <c r="Q38" s="41"/>
      <c r="R38" s="41"/>
      <c r="S38" s="41"/>
      <c r="T38" s="41"/>
    </row>
    <row r="39" spans="1:20" s="21" customFormat="1" ht="15">
      <c r="A39" s="52"/>
      <c r="Q39" s="41"/>
      <c r="R39" s="41"/>
      <c r="S39" s="41"/>
      <c r="T39" s="41"/>
    </row>
    <row r="40" spans="1:20" s="21" customFormat="1" ht="15">
      <c r="A40" s="52"/>
      <c r="Q40" s="41"/>
      <c r="R40" s="41"/>
      <c r="S40" s="41"/>
      <c r="T40" s="41"/>
    </row>
    <row r="41" spans="1:20" s="21" customFormat="1" ht="15">
      <c r="A41" s="52"/>
      <c r="Q41" s="41"/>
      <c r="R41" s="41"/>
      <c r="S41" s="41"/>
      <c r="T41" s="41"/>
    </row>
    <row r="42" spans="1:20" s="21" customFormat="1" ht="15">
      <c r="A42" s="52"/>
      <c r="Q42" s="41"/>
      <c r="R42" s="41"/>
      <c r="S42" s="41"/>
      <c r="T42" s="41"/>
    </row>
    <row r="43" spans="1:20" s="21" customFormat="1" ht="15">
      <c r="A43" s="52"/>
      <c r="Q43" s="41"/>
      <c r="R43" s="41"/>
      <c r="S43" s="41"/>
      <c r="T43" s="41"/>
    </row>
    <row r="44" spans="1:20" s="21" customFormat="1" ht="15">
      <c r="A44" s="52"/>
      <c r="Q44" s="41"/>
      <c r="R44" s="41"/>
      <c r="S44" s="41"/>
      <c r="T44" s="41"/>
    </row>
    <row r="45" spans="1:20" s="21" customFormat="1" ht="15">
      <c r="A45" s="52"/>
      <c r="Q45" s="41"/>
      <c r="R45" s="41"/>
      <c r="S45" s="41"/>
      <c r="T45" s="41"/>
    </row>
    <row r="46" spans="1:20" s="21" customFormat="1" ht="15">
      <c r="A46" s="52"/>
      <c r="Q46" s="41"/>
      <c r="R46" s="41"/>
      <c r="S46" s="41"/>
      <c r="T46" s="41"/>
    </row>
    <row r="47" s="21" customFormat="1" ht="15">
      <c r="A47" s="24"/>
    </row>
    <row r="48" s="21" customFormat="1" ht="15">
      <c r="A48" s="24"/>
    </row>
    <row r="49" s="21" customFormat="1" ht="15">
      <c r="A49" s="24"/>
    </row>
    <row r="50" s="21" customFormat="1" ht="15">
      <c r="A50" s="24"/>
    </row>
    <row r="51" s="21" customFormat="1" ht="15">
      <c r="A51" s="24"/>
    </row>
    <row r="52" s="21" customFormat="1" ht="15">
      <c r="A52" s="24"/>
    </row>
    <row r="53" s="21" customFormat="1" ht="15">
      <c r="A53" s="24"/>
    </row>
    <row r="54" s="21" customFormat="1" ht="15">
      <c r="A54" s="24"/>
    </row>
    <row r="55" s="21" customFormat="1" ht="15">
      <c r="A55" s="24"/>
    </row>
    <row r="56" s="21" customFormat="1" ht="15">
      <c r="A56" s="24"/>
    </row>
    <row r="57" s="21" customFormat="1" ht="15">
      <c r="A57" s="24"/>
    </row>
    <row r="58" s="21" customFormat="1" ht="15">
      <c r="A58" s="24"/>
    </row>
    <row r="59" s="21" customFormat="1" ht="15">
      <c r="A59" s="24"/>
    </row>
    <row r="60" s="21" customFormat="1" ht="15">
      <c r="A60" s="24"/>
    </row>
    <row r="61" s="21" customFormat="1" ht="15">
      <c r="A61" s="24"/>
    </row>
    <row r="62" s="21" customFormat="1" ht="15">
      <c r="A62" s="24"/>
    </row>
    <row r="63" s="21" customFormat="1" ht="15">
      <c r="A63" s="24"/>
    </row>
    <row r="64" s="21" customFormat="1" ht="15">
      <c r="A64" s="24"/>
    </row>
    <row r="65" s="21" customFormat="1" ht="15">
      <c r="A65" s="24"/>
    </row>
    <row r="66" s="21" customFormat="1" ht="15">
      <c r="A66" s="24"/>
    </row>
    <row r="67" s="21" customFormat="1" ht="15">
      <c r="A67" s="24"/>
    </row>
    <row r="68" s="21" customFormat="1" ht="15">
      <c r="A68" s="24"/>
    </row>
    <row r="69" s="21" customFormat="1" ht="15">
      <c r="A69" s="24"/>
    </row>
    <row r="70" s="21" customFormat="1" ht="15">
      <c r="A70" s="24"/>
    </row>
    <row r="71" s="21" customFormat="1" ht="15">
      <c r="A71" s="24"/>
    </row>
    <row r="72" s="21" customFormat="1" ht="15">
      <c r="A72" s="24"/>
    </row>
    <row r="73" s="21" customFormat="1" ht="15">
      <c r="A73" s="24"/>
    </row>
    <row r="74" s="21" customFormat="1" ht="15">
      <c r="A74" s="24"/>
    </row>
    <row r="75" s="21" customFormat="1" ht="15">
      <c r="A75" s="24"/>
    </row>
    <row r="76" s="21" customFormat="1" ht="15">
      <c r="A76" s="24"/>
    </row>
    <row r="77" s="21" customFormat="1" ht="15">
      <c r="A77" s="24"/>
    </row>
    <row r="78" s="21" customFormat="1" ht="15">
      <c r="A78" s="24"/>
    </row>
    <row r="79" s="21" customFormat="1" ht="15">
      <c r="A79" s="24"/>
    </row>
    <row r="80" s="21" customFormat="1" ht="15">
      <c r="A80" s="24"/>
    </row>
    <row r="81" s="21" customFormat="1" ht="15">
      <c r="A81" s="24"/>
    </row>
    <row r="82" s="21" customFormat="1" ht="15">
      <c r="A82" s="24"/>
    </row>
    <row r="83" s="21" customFormat="1" ht="15">
      <c r="A83" s="24"/>
    </row>
    <row r="84" s="21" customFormat="1" ht="15">
      <c r="A84" s="24"/>
    </row>
    <row r="85" s="21" customFormat="1" ht="15">
      <c r="A85" s="24"/>
    </row>
    <row r="86" s="21" customFormat="1" ht="15">
      <c r="A86" s="24"/>
    </row>
    <row r="87" s="21" customFormat="1" ht="15">
      <c r="A87" s="24"/>
    </row>
    <row r="88" s="21" customFormat="1" ht="15">
      <c r="A88" s="24"/>
    </row>
    <row r="89" s="21" customFormat="1" ht="15">
      <c r="A89" s="24"/>
    </row>
    <row r="90" s="21" customFormat="1" ht="15">
      <c r="A90" s="24"/>
    </row>
    <row r="91" s="21" customFormat="1" ht="15">
      <c r="A91" s="24"/>
    </row>
    <row r="92" s="21" customFormat="1" ht="15">
      <c r="A92" s="24"/>
    </row>
    <row r="93" s="21" customFormat="1" ht="15">
      <c r="A93" s="24"/>
    </row>
    <row r="94" s="21" customFormat="1" ht="15">
      <c r="A94" s="24"/>
    </row>
    <row r="95" s="21" customFormat="1" ht="15">
      <c r="A95" s="24"/>
    </row>
    <row r="96" s="21" customFormat="1" ht="15">
      <c r="A96" s="24"/>
    </row>
    <row r="97" s="21" customFormat="1" ht="15">
      <c r="A97" s="24"/>
    </row>
    <row r="98" s="21" customFormat="1" ht="15">
      <c r="A98" s="24"/>
    </row>
    <row r="99" s="21" customFormat="1" ht="15">
      <c r="A99" s="24"/>
    </row>
    <row r="100" s="21" customFormat="1" ht="15">
      <c r="A100" s="24"/>
    </row>
    <row r="101" s="21" customFormat="1" ht="15">
      <c r="A101" s="24"/>
    </row>
    <row r="102" s="21" customFormat="1" ht="15">
      <c r="A102" s="24"/>
    </row>
    <row r="103" s="21" customFormat="1" ht="15">
      <c r="A103" s="24"/>
    </row>
    <row r="104" s="21" customFormat="1" ht="15">
      <c r="A104" s="24"/>
    </row>
    <row r="105" s="21" customFormat="1" ht="15">
      <c r="A105" s="24"/>
    </row>
    <row r="106" s="21" customFormat="1" ht="15">
      <c r="A106" s="24"/>
    </row>
    <row r="107" s="21" customFormat="1" ht="15">
      <c r="A107" s="24"/>
    </row>
    <row r="108" spans="1:9" s="459" customFormat="1" ht="15">
      <c r="A108" s="24"/>
      <c r="B108" s="41"/>
      <c r="C108" s="52"/>
      <c r="D108" s="41"/>
      <c r="E108" s="41"/>
      <c r="F108" s="346"/>
      <c r="G108" s="346"/>
      <c r="H108" s="486"/>
      <c r="I108" s="486"/>
    </row>
    <row r="109" spans="1:9" s="459" customFormat="1" ht="15">
      <c r="A109" s="140"/>
      <c r="B109" s="348"/>
      <c r="C109" s="349"/>
      <c r="D109" s="348"/>
      <c r="E109" s="348"/>
      <c r="F109" s="346"/>
      <c r="G109" s="346"/>
      <c r="H109" s="486"/>
      <c r="I109" s="486"/>
    </row>
    <row r="110" spans="1:9" s="459" customFormat="1" ht="15">
      <c r="A110" s="121"/>
      <c r="B110" s="346"/>
      <c r="C110" s="347"/>
      <c r="D110" s="346"/>
      <c r="E110" s="346"/>
      <c r="F110" s="346"/>
      <c r="G110" s="346"/>
      <c r="H110" s="486"/>
      <c r="I110" s="486"/>
    </row>
    <row r="111" spans="1:9" s="459" customFormat="1" ht="15">
      <c r="A111" s="121"/>
      <c r="B111" s="346"/>
      <c r="C111" s="347"/>
      <c r="D111" s="346"/>
      <c r="E111" s="346"/>
      <c r="F111" s="346"/>
      <c r="G111" s="346"/>
      <c r="H111" s="486"/>
      <c r="I111" s="486"/>
    </row>
    <row r="112" spans="1:9" s="459" customFormat="1" ht="15">
      <c r="A112" s="121"/>
      <c r="B112" s="346"/>
      <c r="C112" s="347"/>
      <c r="D112" s="346"/>
      <c r="E112" s="346"/>
      <c r="F112" s="346"/>
      <c r="G112" s="346"/>
      <c r="H112" s="486"/>
      <c r="I112" s="486"/>
    </row>
    <row r="113" spans="1:9" s="459" customFormat="1" ht="15">
      <c r="A113" s="121"/>
      <c r="B113" s="346"/>
      <c r="C113" s="347"/>
      <c r="D113" s="346"/>
      <c r="E113" s="346"/>
      <c r="F113" s="346"/>
      <c r="G113" s="346"/>
      <c r="H113" s="486"/>
      <c r="I113" s="486"/>
    </row>
    <row r="114" spans="1:9" s="459" customFormat="1" ht="15">
      <c r="A114" s="121"/>
      <c r="B114" s="346"/>
      <c r="C114" s="347"/>
      <c r="D114" s="346"/>
      <c r="E114" s="346"/>
      <c r="F114" s="346"/>
      <c r="G114" s="346"/>
      <c r="H114" s="486"/>
      <c r="I114" s="486"/>
    </row>
    <row r="115" spans="1:9" s="459" customFormat="1" ht="15">
      <c r="A115" s="121"/>
      <c r="B115" s="346"/>
      <c r="C115" s="347"/>
      <c r="D115" s="346"/>
      <c r="E115" s="346"/>
      <c r="F115" s="346"/>
      <c r="G115" s="346"/>
      <c r="H115" s="486"/>
      <c r="I115" s="486"/>
    </row>
    <row r="116" spans="1:7" s="459" customFormat="1" ht="15">
      <c r="A116" s="140"/>
      <c r="B116" s="348"/>
      <c r="C116" s="349"/>
      <c r="D116" s="348"/>
      <c r="E116" s="348"/>
      <c r="F116" s="348"/>
      <c r="G116" s="348"/>
    </row>
    <row r="117" spans="1:7" s="459" customFormat="1" ht="15">
      <c r="A117" s="140"/>
      <c r="B117" s="348"/>
      <c r="C117" s="349"/>
      <c r="D117" s="348"/>
      <c r="E117" s="348"/>
      <c r="F117" s="348"/>
      <c r="G117" s="348"/>
    </row>
    <row r="118" spans="1:7" s="459" customFormat="1" ht="15">
      <c r="A118" s="140"/>
      <c r="B118" s="348"/>
      <c r="C118" s="349"/>
      <c r="D118" s="348"/>
      <c r="E118" s="348"/>
      <c r="F118" s="348"/>
      <c r="G118" s="348"/>
    </row>
    <row r="119" spans="1:7" s="459" customFormat="1" ht="15">
      <c r="A119" s="140"/>
      <c r="B119" s="348"/>
      <c r="C119" s="349"/>
      <c r="D119" s="348"/>
      <c r="E119" s="348"/>
      <c r="F119" s="348"/>
      <c r="G119" s="348"/>
    </row>
    <row r="120" spans="1:3" s="459" customFormat="1" ht="15">
      <c r="A120" s="140"/>
      <c r="C120" s="140"/>
    </row>
    <row r="121" spans="1:3" s="459" customFormat="1" ht="15">
      <c r="A121" s="140"/>
      <c r="C121" s="140"/>
    </row>
    <row r="122" spans="1:3" s="459" customFormat="1" ht="15">
      <c r="A122" s="140"/>
      <c r="C122" s="140"/>
    </row>
    <row r="123" spans="1:3" s="459" customFormat="1" ht="15">
      <c r="A123" s="140"/>
      <c r="C123" s="140"/>
    </row>
    <row r="124" spans="1:3" s="459" customFormat="1" ht="15">
      <c r="A124" s="140"/>
      <c r="C124" s="140"/>
    </row>
    <row r="125" spans="1:3" s="459" customFormat="1" ht="15">
      <c r="A125" s="140"/>
      <c r="C125" s="140"/>
    </row>
    <row r="126" spans="1:3" s="459" customFormat="1" ht="15">
      <c r="A126" s="140"/>
      <c r="C126" s="140"/>
    </row>
    <row r="127" spans="1:3" s="459" customFormat="1" ht="15">
      <c r="A127" s="140"/>
      <c r="C127" s="140"/>
    </row>
    <row r="128" spans="1:3" s="459" customFormat="1" ht="15">
      <c r="A128" s="140"/>
      <c r="C128" s="140"/>
    </row>
    <row r="129" spans="1:3" s="459" customFormat="1" ht="15">
      <c r="A129" s="140"/>
      <c r="C129" s="140"/>
    </row>
    <row r="130" spans="1:3" s="459" customFormat="1" ht="15">
      <c r="A130" s="140"/>
      <c r="C130" s="140"/>
    </row>
    <row r="131" spans="1:3" s="459" customFormat="1" ht="15">
      <c r="A131" s="140"/>
      <c r="C131" s="140"/>
    </row>
  </sheetData>
  <sheetProtection/>
  <dataValidations count="3">
    <dataValidation operator="equal" allowBlank="1" showInputMessage="1" showErrorMessage="1" sqref="D14"/>
    <dataValidation type="list" allowBlank="1" showInputMessage="1" showErrorMessage="1" sqref="D23:D24">
      <formula1>mccapply</formula1>
    </dataValidation>
    <dataValidation type="list" allowBlank="1" showInputMessage="1" showErrorMessage="1" sqref="C15">
      <formula1>trip</formula1>
    </dataValidation>
  </dataValidations>
  <hyperlinks>
    <hyperlink ref="A1" location="Instructions!A64" display="Instructions!A64"/>
    <hyperlink ref="A3" location="Instructions!A66" display="Instructions!A66"/>
    <hyperlink ref="A12" location="Instructions!A69" display="Instructions!A69"/>
    <hyperlink ref="A14" location="Instructions!A70" display="Instructions!A70"/>
    <hyperlink ref="A15" location="Instructions!A71" display="Instructions!A71"/>
    <hyperlink ref="A17" location="Instructions!A72" display="Instructions!A72"/>
    <hyperlink ref="A23" location="Instructions!A74" display="Instructions!A74"/>
    <hyperlink ref="A28" location="Instructions!A75" display="Instructions!A75"/>
    <hyperlink ref="A7" location="Instructions!A67" display="Instructions!A67"/>
    <hyperlink ref="A9" location="Instructions!A68" display="Instructions!A68"/>
    <hyperlink ref="A18" location="Instructions!A73" display="Instructions!A73"/>
    <hyperlink ref="A29" location="Instructions!A76" display="Instructions!A76"/>
  </hyperlinks>
  <printOptions gridLines="1" headings="1"/>
  <pageMargins left="0.7" right="0.7" top="0.29" bottom="0.31" header="0.3" footer="0.3"/>
  <pageSetup horizontalDpi="600" verticalDpi="600" orientation="landscape" paperSize="9" scale="90" r:id="rId2"/>
  <rowBreaks count="1" manualBreakCount="1">
    <brk id="25" max="4" man="1"/>
  </rowBreaks>
  <colBreaks count="1" manualBreakCount="1">
    <brk id="4" min="25" max="42" man="1"/>
  </colBreaks>
  <legacyDrawing r:id="rId1"/>
</worksheet>
</file>

<file path=xl/worksheets/sheet6.xml><?xml version="1.0" encoding="utf-8"?>
<worksheet xmlns="http://schemas.openxmlformats.org/spreadsheetml/2006/main" xmlns:r="http://schemas.openxmlformats.org/officeDocument/2006/relationships">
  <sheetPr codeName="Sheet12">
    <tabColor indexed="51"/>
  </sheetPr>
  <dimension ref="A1:CV323"/>
  <sheetViews>
    <sheetView zoomScale="75" zoomScaleNormal="75" zoomScalePageLayoutView="0" workbookViewId="0" topLeftCell="A1">
      <selection activeCell="H10" sqref="H10"/>
    </sheetView>
  </sheetViews>
  <sheetFormatPr defaultColWidth="12.57421875" defaultRowHeight="15"/>
  <cols>
    <col min="1" max="1" width="12.00390625" style="263" customWidth="1"/>
    <col min="2" max="2" width="35.28125" style="269" customWidth="1"/>
    <col min="3" max="3" width="12.57421875" style="221" customWidth="1"/>
    <col min="4" max="4" width="18.28125" style="221" customWidth="1"/>
    <col min="5" max="5" width="12.00390625" style="221" customWidth="1"/>
    <col min="6" max="6" width="18.421875" style="221" bestFit="1" customWidth="1"/>
    <col min="7" max="7" width="9.28125" style="221" customWidth="1"/>
    <col min="8" max="8" width="15.28125" style="221" bestFit="1" customWidth="1"/>
    <col min="9" max="9" width="10.28125" style="221" customWidth="1"/>
    <col min="10" max="10" width="19.28125" style="221" customWidth="1"/>
    <col min="11" max="11" width="12.57421875" style="221" customWidth="1"/>
    <col min="12" max="15" width="19.57421875" style="221" customWidth="1"/>
    <col min="16" max="16" width="20.7109375" style="221" customWidth="1"/>
    <col min="17" max="18" width="12.57421875" style="221" customWidth="1"/>
    <col min="19" max="20" width="17.28125" style="221" customWidth="1"/>
    <col min="21" max="21" width="12.57421875" style="221" customWidth="1"/>
    <col min="22" max="22" width="13.57421875" style="221" customWidth="1"/>
    <col min="23" max="23" width="13.57421875" style="243" customWidth="1"/>
    <col min="24" max="24" width="8.00390625" style="243" customWidth="1"/>
    <col min="25" max="25" width="12.00390625" style="221" customWidth="1"/>
    <col min="26" max="26" width="39.28125" style="221" customWidth="1"/>
    <col min="27" max="29" width="12.57421875" style="221" customWidth="1"/>
    <col min="30" max="30" width="13.7109375" style="221" customWidth="1"/>
    <col min="31" max="31" width="16.7109375" style="221" customWidth="1"/>
    <col min="32" max="45" width="12.57421875" style="221" customWidth="1"/>
    <col min="46" max="46" width="12.28125" style="221" customWidth="1"/>
    <col min="47" max="47" width="12.00390625" style="221" customWidth="1"/>
    <col min="48" max="48" width="13.140625" style="221" customWidth="1"/>
    <col min="49" max="49" width="12.8515625" style="221" customWidth="1"/>
    <col min="50" max="50" width="12.57421875" style="221" customWidth="1"/>
    <col min="51" max="51" width="9.57421875" style="221" customWidth="1"/>
    <col min="52" max="54" width="12.57421875" style="221" customWidth="1"/>
    <col min="55" max="55" width="37.28125" style="221" customWidth="1"/>
    <col min="56" max="16384" width="12.57421875" style="221" customWidth="1"/>
  </cols>
  <sheetData>
    <row r="1" spans="1:30" s="223" customFormat="1" ht="28.5">
      <c r="A1" s="287" t="s">
        <v>256</v>
      </c>
      <c r="B1" s="264"/>
      <c r="C1" s="221"/>
      <c r="D1" s="221"/>
      <c r="E1" s="222" t="s">
        <v>10</v>
      </c>
      <c r="F1" s="288" t="str">
        <f>'Start Page'!$G$3</f>
        <v>PTE </v>
      </c>
      <c r="G1" s="288"/>
      <c r="H1" s="291"/>
      <c r="I1" s="291"/>
      <c r="J1" s="291"/>
      <c r="K1" s="240"/>
      <c r="L1" s="240"/>
      <c r="M1" s="240"/>
      <c r="N1" s="240"/>
      <c r="O1" s="240"/>
      <c r="W1" s="240"/>
      <c r="X1" s="240"/>
      <c r="Z1" s="298" t="s">
        <v>274</v>
      </c>
      <c r="AA1" s="232"/>
      <c r="AB1" s="233"/>
      <c r="AC1" s="233"/>
      <c r="AD1" s="294"/>
    </row>
    <row r="2" spans="1:30" s="223" customFormat="1" ht="21">
      <c r="A2" s="262"/>
      <c r="B2" s="265"/>
      <c r="C2" s="221"/>
      <c r="D2" s="221"/>
      <c r="E2" s="222" t="s">
        <v>62</v>
      </c>
      <c r="F2" s="289" t="str">
        <f>'Start Page'!$G$4</f>
        <v>2012/13</v>
      </c>
      <c r="G2" s="289"/>
      <c r="W2" s="240"/>
      <c r="X2" s="240"/>
      <c r="Z2" s="234"/>
      <c r="AA2" s="235" t="s">
        <v>20</v>
      </c>
      <c r="AB2" s="235" t="s">
        <v>12</v>
      </c>
      <c r="AC2" s="292"/>
      <c r="AD2" s="295"/>
    </row>
    <row r="3" spans="1:30" s="223" customFormat="1" ht="21">
      <c r="A3" s="262"/>
      <c r="B3" s="265"/>
      <c r="C3" s="221"/>
      <c r="D3" s="221"/>
      <c r="F3" s="222"/>
      <c r="G3" s="222"/>
      <c r="J3" s="221"/>
      <c r="K3" s="221"/>
      <c r="W3" s="240"/>
      <c r="X3" s="500" t="s">
        <v>433</v>
      </c>
      <c r="Z3" s="234" t="s">
        <v>273</v>
      </c>
      <c r="AA3" s="906">
        <v>8.785714285714286</v>
      </c>
      <c r="AB3" s="906">
        <v>10.027714285714286</v>
      </c>
      <c r="AC3" s="292" t="s">
        <v>94</v>
      </c>
      <c r="AD3" s="295"/>
    </row>
    <row r="4" spans="1:34" s="223" customFormat="1" ht="21">
      <c r="A4" s="262"/>
      <c r="B4" s="265"/>
      <c r="C4" s="221"/>
      <c r="D4" s="221"/>
      <c r="F4" s="222"/>
      <c r="G4" s="222"/>
      <c r="J4" s="221"/>
      <c r="K4" s="221"/>
      <c r="V4" s="900" t="s">
        <v>178</v>
      </c>
      <c r="W4" s="240"/>
      <c r="X4" s="240"/>
      <c r="Z4" s="236" t="s">
        <v>257</v>
      </c>
      <c r="AA4" s="907">
        <v>10</v>
      </c>
      <c r="AB4" s="907">
        <v>10</v>
      </c>
      <c r="AC4" s="237" t="s">
        <v>81</v>
      </c>
      <c r="AD4" s="295"/>
      <c r="AF4" s="240"/>
      <c r="AG4" s="240"/>
      <c r="AH4" s="240"/>
    </row>
    <row r="5" spans="1:34" s="223" customFormat="1" ht="21">
      <c r="A5" s="262"/>
      <c r="B5" s="265"/>
      <c r="C5" s="221"/>
      <c r="D5" s="221"/>
      <c r="F5" s="222"/>
      <c r="G5" s="222"/>
      <c r="J5" s="723" t="s">
        <v>17</v>
      </c>
      <c r="K5" s="221"/>
      <c r="V5" s="900" t="s">
        <v>179</v>
      </c>
      <c r="W5" s="240"/>
      <c r="X5" s="240"/>
      <c r="Z5" s="236" t="s">
        <v>84</v>
      </c>
      <c r="AA5" s="907">
        <v>3.106855961</v>
      </c>
      <c r="AB5" s="906">
        <v>3.572884335</v>
      </c>
      <c r="AC5" s="237" t="s">
        <v>82</v>
      </c>
      <c r="AD5" s="295"/>
      <c r="AF5" s="911"/>
      <c r="AG5" s="911"/>
      <c r="AH5" s="240"/>
    </row>
    <row r="6" spans="1:34" s="223" customFormat="1" ht="21">
      <c r="A6" s="262"/>
      <c r="B6" s="265"/>
      <c r="C6" s="221"/>
      <c r="D6" s="221"/>
      <c r="F6" s="222"/>
      <c r="G6" s="222"/>
      <c r="J6" s="723" t="s">
        <v>346</v>
      </c>
      <c r="K6" s="221"/>
      <c r="V6" s="900" t="s">
        <v>180</v>
      </c>
      <c r="W6" s="240"/>
      <c r="X6" s="240"/>
      <c r="Z6" s="238" t="s">
        <v>258</v>
      </c>
      <c r="AA6" s="908">
        <v>6.213711922</v>
      </c>
      <c r="AB6" s="910">
        <v>7.14576868</v>
      </c>
      <c r="AC6" s="293" t="s">
        <v>82</v>
      </c>
      <c r="AD6" s="295"/>
      <c r="AF6" s="240"/>
      <c r="AG6" s="240"/>
      <c r="AH6" s="240"/>
    </row>
    <row r="7" spans="2:30" s="223" customFormat="1" ht="21">
      <c r="B7" s="265"/>
      <c r="C7" s="221"/>
      <c r="E7" s="291"/>
      <c r="F7" s="222"/>
      <c r="G7" s="222"/>
      <c r="J7" s="221"/>
      <c r="K7" s="221"/>
      <c r="X7" s="240"/>
      <c r="Z7" s="236" t="s">
        <v>392</v>
      </c>
      <c r="AA7" s="907">
        <v>0.6</v>
      </c>
      <c r="AB7" s="907">
        <v>0.6</v>
      </c>
      <c r="AC7" s="293"/>
      <c r="AD7" s="295"/>
    </row>
    <row r="8" spans="2:30" s="223" customFormat="1" ht="21" customHeight="1" thickBot="1">
      <c r="B8" s="291"/>
      <c r="C8" s="290" t="s">
        <v>85</v>
      </c>
      <c r="D8" s="286">
        <f>SUM(D11:D160)</f>
        <v>0</v>
      </c>
      <c r="E8" s="499">
        <v>63</v>
      </c>
      <c r="F8" s="8" t="str">
        <f>IF(D8='Start Page'!G6,"","NOTE - number of concessionary journeys does not equal the number entered on the start page")</f>
        <v>NOTE - number of concessionary journeys does not equal the number entered on the start page</v>
      </c>
      <c r="G8" s="8"/>
      <c r="V8" s="290" t="s">
        <v>302</v>
      </c>
      <c r="W8" s="432">
        <f>SUM(W11:W160)</f>
        <v>0</v>
      </c>
      <c r="X8" s="499">
        <v>64</v>
      </c>
      <c r="Z8" s="239" t="s">
        <v>259</v>
      </c>
      <c r="AA8" s="909">
        <v>6</v>
      </c>
      <c r="AB8" s="909">
        <v>6</v>
      </c>
      <c r="AC8" s="296" t="s">
        <v>83</v>
      </c>
      <c r="AD8" s="297"/>
    </row>
    <row r="9" spans="1:30" s="223" customFormat="1" ht="21" customHeight="1">
      <c r="A9" s="499">
        <v>47</v>
      </c>
      <c r="B9" s="501">
        <v>48</v>
      </c>
      <c r="C9" s="499">
        <v>49</v>
      </c>
      <c r="D9" s="502">
        <v>50</v>
      </c>
      <c r="E9" s="499">
        <v>51</v>
      </c>
      <c r="F9" s="499">
        <v>52</v>
      </c>
      <c r="G9" s="499"/>
      <c r="H9" s="499">
        <v>53</v>
      </c>
      <c r="I9" s="499"/>
      <c r="J9" s="499">
        <v>54</v>
      </c>
      <c r="K9" s="262"/>
      <c r="L9" s="499">
        <v>55</v>
      </c>
      <c r="M9" s="262"/>
      <c r="N9" s="499">
        <v>56</v>
      </c>
      <c r="O9" s="262"/>
      <c r="P9" s="499">
        <v>57</v>
      </c>
      <c r="Q9" s="262"/>
      <c r="R9" s="499">
        <v>58</v>
      </c>
      <c r="S9" s="499">
        <v>59</v>
      </c>
      <c r="T9" s="262"/>
      <c r="U9" s="499">
        <v>60</v>
      </c>
      <c r="V9" s="499">
        <v>61</v>
      </c>
      <c r="W9" s="499">
        <v>62</v>
      </c>
      <c r="X9" s="503"/>
      <c r="Z9" s="339"/>
      <c r="AA9" s="339"/>
      <c r="AB9" s="339"/>
      <c r="AC9" s="246"/>
      <c r="AD9" s="427"/>
    </row>
    <row r="10" spans="1:100" s="229" customFormat="1" ht="190.5" customHeight="1" thickBot="1">
      <c r="A10" s="228" t="s">
        <v>300</v>
      </c>
      <c r="B10" s="230" t="s">
        <v>379</v>
      </c>
      <c r="C10" s="227" t="s">
        <v>482</v>
      </c>
      <c r="D10" s="227" t="s">
        <v>381</v>
      </c>
      <c r="E10" s="227" t="s">
        <v>25</v>
      </c>
      <c r="F10" s="227" t="s">
        <v>86</v>
      </c>
      <c r="G10" s="227"/>
      <c r="H10" s="227" t="s">
        <v>87</v>
      </c>
      <c r="I10" s="227"/>
      <c r="J10" s="261" t="s">
        <v>480</v>
      </c>
      <c r="K10" s="261"/>
      <c r="L10" s="261" t="s">
        <v>88</v>
      </c>
      <c r="M10" s="261"/>
      <c r="N10" s="261" t="s">
        <v>89</v>
      </c>
      <c r="O10" s="261"/>
      <c r="P10" s="261" t="s">
        <v>90</v>
      </c>
      <c r="Q10" s="261"/>
      <c r="R10" s="227" t="s">
        <v>91</v>
      </c>
      <c r="S10" s="261" t="s">
        <v>116</v>
      </c>
      <c r="T10" s="261"/>
      <c r="U10" s="227" t="s">
        <v>275</v>
      </c>
      <c r="V10" s="244" t="s">
        <v>93</v>
      </c>
      <c r="W10" s="241" t="s">
        <v>382</v>
      </c>
      <c r="X10" s="241"/>
      <c r="Y10" s="277"/>
      <c r="Z10" s="285" t="s">
        <v>301</v>
      </c>
      <c r="AA10" s="241" t="s">
        <v>276</v>
      </c>
      <c r="AB10" s="241" t="s">
        <v>260</v>
      </c>
      <c r="AC10" s="241" t="s">
        <v>261</v>
      </c>
      <c r="AD10" s="241" t="s">
        <v>262</v>
      </c>
      <c r="AE10" s="241" t="s">
        <v>263</v>
      </c>
      <c r="AF10" s="241" t="s">
        <v>264</v>
      </c>
      <c r="AG10" s="241" t="s">
        <v>265</v>
      </c>
      <c r="AH10" s="241" t="s">
        <v>266</v>
      </c>
      <c r="AI10" s="241" t="s">
        <v>267</v>
      </c>
      <c r="AJ10" s="241" t="s">
        <v>24</v>
      </c>
      <c r="AK10" s="241" t="s">
        <v>95</v>
      </c>
      <c r="AL10" s="241" t="s">
        <v>268</v>
      </c>
      <c r="AM10" s="241" t="s">
        <v>269</v>
      </c>
      <c r="AN10" s="241" t="s">
        <v>270</v>
      </c>
      <c r="AO10" s="241" t="s">
        <v>271</v>
      </c>
      <c r="AP10" s="241" t="s">
        <v>272</v>
      </c>
      <c r="AQ10" s="241" t="s">
        <v>95</v>
      </c>
      <c r="AR10" s="241" t="s">
        <v>96</v>
      </c>
      <c r="AS10" s="241" t="s">
        <v>277</v>
      </c>
      <c r="AT10" s="241" t="s">
        <v>295</v>
      </c>
      <c r="AU10" s="241" t="s">
        <v>296</v>
      </c>
      <c r="AV10" s="241" t="s">
        <v>297</v>
      </c>
      <c r="AW10" s="241" t="s">
        <v>298</v>
      </c>
      <c r="AX10" s="241" t="s">
        <v>104</v>
      </c>
      <c r="AY10" s="241" t="s">
        <v>299</v>
      </c>
      <c r="AZ10" s="241" t="s">
        <v>105</v>
      </c>
      <c r="BA10" s="241" t="s">
        <v>92</v>
      </c>
      <c r="BB10" s="241"/>
      <c r="BC10" s="241"/>
      <c r="BD10" s="241"/>
      <c r="BE10" s="241"/>
      <c r="BF10" s="241"/>
      <c r="BG10" s="241"/>
      <c r="BH10" s="241"/>
      <c r="BI10" s="241"/>
      <c r="BJ10" s="241"/>
      <c r="BK10" s="277"/>
      <c r="BL10" s="277"/>
      <c r="BM10" s="277"/>
      <c r="BN10" s="277"/>
      <c r="BO10" s="277"/>
      <c r="BP10" s="277"/>
      <c r="BQ10" s="277"/>
      <c r="BR10" s="277"/>
      <c r="BS10" s="277"/>
      <c r="BT10" s="277"/>
      <c r="BU10" s="277"/>
      <c r="BV10" s="277"/>
      <c r="BW10" s="277"/>
      <c r="BX10" s="277"/>
      <c r="BY10" s="277"/>
      <c r="BZ10" s="277"/>
      <c r="CA10" s="277"/>
      <c r="CB10" s="277"/>
      <c r="CC10" s="277"/>
      <c r="CD10" s="277"/>
      <c r="CE10" s="277"/>
      <c r="CF10" s="277"/>
      <c r="CG10" s="277"/>
      <c r="CH10" s="277"/>
      <c r="CI10" s="277"/>
      <c r="CJ10" s="277"/>
      <c r="CK10" s="277"/>
      <c r="CL10" s="277"/>
      <c r="CM10" s="277"/>
      <c r="CN10" s="277"/>
      <c r="CO10" s="277"/>
      <c r="CP10" s="277"/>
      <c r="CQ10" s="277"/>
      <c r="CR10" s="277"/>
      <c r="CS10" s="277"/>
      <c r="CT10" s="277"/>
      <c r="CU10" s="277"/>
      <c r="CV10" s="277"/>
    </row>
    <row r="11" spans="1:100" s="253" customFormat="1" ht="15.75">
      <c r="A11" s="270" t="s">
        <v>30</v>
      </c>
      <c r="B11" s="266" t="s">
        <v>380</v>
      </c>
      <c r="C11" s="802">
        <f>IF(A11="No","",1-'RF model'!$C$14)</f>
      </c>
      <c r="D11" s="254"/>
      <c r="E11" s="255">
        <f>IF(A11="No","",0.6)</f>
      </c>
      <c r="F11" s="762" t="s">
        <v>17</v>
      </c>
      <c r="G11" s="256">
        <f>IF(A11="No","",IF(F11="Use Default",13.3*(VLOOKUP('Start Page'!$G$4,'RF Workings'!$E$3:$G$13,2)/'RF Workings'!$F$7),""))</f>
      </c>
      <c r="H11" s="762" t="s">
        <v>17</v>
      </c>
      <c r="I11" s="256">
        <f>IF(A11="No","",IF(H11="Use Default",0.7*(VLOOKUP('Start Page'!$G$4,'RF Workings'!$E$3:$G$13,2)/'RF Workings'!$F$7),""))</f>
      </c>
      <c r="J11" s="257" t="s">
        <v>17</v>
      </c>
      <c r="K11" s="801">
        <f>IF(A11="No","",IF(J11="Use Default",IF($F$1="Non-PTE",$AB$3,$AA$3),""))</f>
      </c>
      <c r="L11" s="258" t="s">
        <v>17</v>
      </c>
      <c r="M11" s="259">
        <f>IF(A11="No","",IF(L11="Use Default",IF($F$1="Non-PTE",$AB$4,$AA$4),""))</f>
      </c>
      <c r="N11" s="258" t="s">
        <v>17</v>
      </c>
      <c r="O11" s="800">
        <f>IF(A11="No","",IF(N11="Use Default",IF($F$1="Non-PTE",$AB$5,$AA$5),""))</f>
      </c>
      <c r="P11" s="258" t="s">
        <v>17</v>
      </c>
      <c r="Q11" s="801">
        <f>IF(A11="No","",(IF(P11="Use Default",IF($F$1="Non-PTE",$AB$6,$AA$6),"")))</f>
      </c>
      <c r="R11" s="260"/>
      <c r="S11" s="258" t="s">
        <v>17</v>
      </c>
      <c r="T11" s="303">
        <f>IF(A11="No","",IF(S11="Use Default",IF('MCC Model '!$F$1="Non-PTE",$AB$7,$AA$7),""))</f>
      </c>
      <c r="U11" s="255">
        <f>IF(A11="No","",0.66)</f>
      </c>
      <c r="V11" s="433">
        <f>IF(A11="Yes",(IF(BA11&lt;0,0,BA11)),"")</f>
      </c>
      <c r="W11" s="434">
        <f>IF(A11="Yes",V11*C11*D11,"")</f>
      </c>
      <c r="X11" s="275"/>
      <c r="Y11" s="899"/>
      <c r="Z11" s="278"/>
      <c r="AA11" s="278">
        <f>IF(F1="Non-PTE",AB8,AA8)</f>
        <v>6</v>
      </c>
      <c r="AB11" s="279" t="e">
        <f>IF(AND(N11="Use Default",P11="Use Default"),Q11/O11,IF(AND(N11="Use Local Value",P11="Use Default"),Q11/O12,IF(AND(N11="Use Default",P11="Use Local Value"),Q12/O11,IF(AND(N11="Use Local Value",P11="Use Local Value"),Q12/O12))))*IF($M11="",$M12,$M11)/IF($Q11="",Q12,$Q11)</f>
        <v>#VALUE!</v>
      </c>
      <c r="AC11" s="279" t="e">
        <f>AA11*AB11</f>
        <v>#VALUE!</v>
      </c>
      <c r="AD11" s="279" t="e">
        <f>1/IF(Q11="",Q12,Q11)</f>
        <v>#DIV/0!</v>
      </c>
      <c r="AE11" s="279" t="e">
        <f>AA11*((AC11+AD11)/AC11)^E11</f>
        <v>#VALUE!</v>
      </c>
      <c r="AF11" s="279" t="e">
        <f>AA11/((IF(K11="",K12,K11)/(IF(Q11="",Q12,Q11)*2)))</f>
        <v>#DIV/0!</v>
      </c>
      <c r="AG11" s="279" t="e">
        <f>AF11/2</f>
        <v>#DIV/0!</v>
      </c>
      <c r="AH11" s="279" t="e">
        <f>AE11/((IF(K11="",K12,K11)/(IF(Q11="",Q12,Q11)*2)))</f>
        <v>#VALUE!</v>
      </c>
      <c r="AI11" s="279" t="e">
        <f>AH11/2</f>
        <v>#VALUE!</v>
      </c>
      <c r="AJ11" s="279" t="e">
        <f>AI11-AG11</f>
        <v>#VALUE!</v>
      </c>
      <c r="AK11" s="280" t="e">
        <f>AJ11*IF(F11="Use Default",G11,G12)</f>
        <v>#VALUE!</v>
      </c>
      <c r="AL11" s="279" t="e">
        <f>AA11*IF(K11="",K12,K11)/((IF(K11="",K12,K11)/(IF(Q11="",Q12,Q11)*2)))</f>
        <v>#DIV/0!</v>
      </c>
      <c r="AM11" s="278" t="e">
        <f>AL11/2</f>
        <v>#DIV/0!</v>
      </c>
      <c r="AN11" s="279" t="e">
        <f>AE11*IF(K11="",K12,K11)/((IF(K11="",K12,K11)/(IF(Q11="",Q12,Q11)*2)))</f>
        <v>#VALUE!</v>
      </c>
      <c r="AO11" s="278" t="e">
        <f>AN11/2</f>
        <v>#VALUE!</v>
      </c>
      <c r="AP11" s="278" t="e">
        <f>AO11-AM11</f>
        <v>#VALUE!</v>
      </c>
      <c r="AQ11" s="280" t="e">
        <f>AP11*IF(H11="Use Default",I11,I12)</f>
        <v>#VALUE!</v>
      </c>
      <c r="AR11" s="280" t="e">
        <f>AQ11+AK11</f>
        <v>#VALUE!</v>
      </c>
      <c r="AS11" s="281" t="e">
        <f>(AE11-AA11)/AA11</f>
        <v>#VALUE!</v>
      </c>
      <c r="AT11" s="281" t="e">
        <f>AS11*U11</f>
        <v>#VALUE!</v>
      </c>
      <c r="AU11" s="282" t="e">
        <f>AC11*IF(Q11="",Q12,Q11)*2</f>
        <v>#VALUE!</v>
      </c>
      <c r="AV11" s="278" t="e">
        <f>AU11/2</f>
        <v>#VALUE!</v>
      </c>
      <c r="AW11" s="282" t="e">
        <f>AV11*IF(T11="",T12,T11)</f>
        <v>#VALUE!</v>
      </c>
      <c r="AX11" s="279" t="e">
        <f>AW11*AT11</f>
        <v>#VALUE!</v>
      </c>
      <c r="AY11" s="280" t="e">
        <f>AX11*R11</f>
        <v>#VALUE!</v>
      </c>
      <c r="AZ11" s="280" t="e">
        <f>AX11*'AC model'!$D$18</f>
        <v>#VALUE!</v>
      </c>
      <c r="BA11" s="280" t="e">
        <f>AR11-AY11+AZ11</f>
        <v>#VALUE!</v>
      </c>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278"/>
      <c r="BZ11" s="278"/>
      <c r="CA11" s="278"/>
      <c r="CB11" s="278"/>
      <c r="CC11" s="278"/>
      <c r="CD11" s="278"/>
      <c r="CE11" s="278"/>
      <c r="CF11" s="278"/>
      <c r="CG11" s="278"/>
      <c r="CH11" s="278"/>
      <c r="CI11" s="278"/>
      <c r="CJ11" s="278"/>
      <c r="CK11" s="278"/>
      <c r="CL11" s="278"/>
      <c r="CM11" s="278"/>
      <c r="CN11" s="278"/>
      <c r="CO11" s="278"/>
      <c r="CP11" s="278"/>
      <c r="CQ11" s="278"/>
      <c r="CR11" s="278"/>
      <c r="CS11" s="278"/>
      <c r="CT11" s="278"/>
      <c r="CU11" s="278"/>
      <c r="CV11" s="278"/>
    </row>
    <row r="12" spans="1:100" s="231" customFormat="1" ht="15.75">
      <c r="A12" s="271"/>
      <c r="B12" s="267"/>
      <c r="C12" s="222"/>
      <c r="D12" s="222"/>
      <c r="E12" s="222"/>
      <c r="F12" s="224">
        <f>IF(F11="Use Local Value","Enter Local Value","")</f>
      </c>
      <c r="G12" s="763"/>
      <c r="H12" s="224">
        <f>IF(H11="Use Local Value","Enter Local Value","")</f>
      </c>
      <c r="I12" s="763"/>
      <c r="J12" s="224">
        <f>IF(J11="Use Local Value","Enter Local Value","")</f>
      </c>
      <c r="K12" s="225"/>
      <c r="L12" s="224">
        <f>IF(L11="Use Local Value","Enter Local Value","")</f>
      </c>
      <c r="M12" s="226"/>
      <c r="N12" s="224">
        <f>IF(N11="Use Local Value","Enter Local Value","")</f>
      </c>
      <c r="O12" s="226"/>
      <c r="P12" s="224">
        <f>IF(P11="Use Local Value","Enter Local Value","")</f>
      </c>
      <c r="Q12" s="226"/>
      <c r="R12" s="222"/>
      <c r="S12" s="224">
        <f>IF(S11="Use Local Value","Enter Local Value","")</f>
      </c>
      <c r="T12" s="304"/>
      <c r="U12" s="222"/>
      <c r="V12" s="222"/>
      <c r="W12" s="245"/>
      <c r="X12" s="245"/>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7"/>
      <c r="BH12" s="247"/>
      <c r="BI12" s="246"/>
      <c r="BJ12" s="246"/>
      <c r="BK12" s="246"/>
      <c r="BL12" s="246"/>
      <c r="BM12" s="246"/>
      <c r="BN12" s="246"/>
      <c r="BO12" s="246"/>
      <c r="BP12" s="246"/>
      <c r="BQ12" s="246"/>
      <c r="BR12" s="246"/>
      <c r="BS12" s="246"/>
      <c r="BT12" s="246"/>
      <c r="BU12" s="246"/>
      <c r="BV12" s="246"/>
      <c r="BW12" s="246"/>
      <c r="BX12" s="246"/>
      <c r="BY12" s="246"/>
      <c r="BZ12" s="246"/>
      <c r="CA12" s="246"/>
      <c r="CB12" s="246"/>
      <c r="CC12" s="246"/>
      <c r="CD12" s="246"/>
      <c r="CE12" s="246"/>
      <c r="CF12" s="246"/>
      <c r="CG12" s="246"/>
      <c r="CH12" s="246"/>
      <c r="CI12" s="246"/>
      <c r="CJ12" s="246"/>
      <c r="CK12" s="246"/>
      <c r="CL12" s="246"/>
      <c r="CM12" s="246"/>
      <c r="CN12" s="246"/>
      <c r="CO12" s="246"/>
      <c r="CP12" s="246"/>
      <c r="CQ12" s="246"/>
      <c r="CR12" s="246"/>
      <c r="CS12" s="246"/>
      <c r="CT12" s="246"/>
      <c r="CU12" s="246"/>
      <c r="CV12" s="246"/>
    </row>
    <row r="13" spans="1:100" s="248" customFormat="1" ht="17.25" customHeight="1" thickBot="1">
      <c r="A13" s="272"/>
      <c r="B13" s="268"/>
      <c r="C13" s="249"/>
      <c r="D13" s="249"/>
      <c r="E13" s="249"/>
      <c r="F13" s="249"/>
      <c r="G13" s="249"/>
      <c r="H13" s="249"/>
      <c r="I13" s="249"/>
      <c r="J13" s="250"/>
      <c r="K13" s="251"/>
      <c r="L13" s="250"/>
      <c r="M13" s="252"/>
      <c r="N13" s="250"/>
      <c r="O13" s="252"/>
      <c r="P13" s="250"/>
      <c r="Q13" s="252"/>
      <c r="R13" s="249"/>
      <c r="S13" s="250"/>
      <c r="T13" s="305"/>
      <c r="U13" s="249"/>
      <c r="V13" s="249"/>
      <c r="W13" s="249"/>
      <c r="X13" s="276"/>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4"/>
      <c r="BH13" s="284"/>
      <c r="BI13" s="283"/>
      <c r="BJ13" s="283"/>
      <c r="BK13" s="283"/>
      <c r="BL13" s="283"/>
      <c r="BM13" s="283"/>
      <c r="BN13" s="283"/>
      <c r="BO13" s="283"/>
      <c r="BP13" s="283"/>
      <c r="BQ13" s="283"/>
      <c r="BR13" s="283"/>
      <c r="BS13" s="283"/>
      <c r="BT13" s="283"/>
      <c r="BU13" s="283"/>
      <c r="BV13" s="283"/>
      <c r="BW13" s="283"/>
      <c r="BX13" s="283"/>
      <c r="BY13" s="283"/>
      <c r="BZ13" s="283"/>
      <c r="CA13" s="283"/>
      <c r="CB13" s="283"/>
      <c r="CC13" s="283"/>
      <c r="CD13" s="283"/>
      <c r="CE13" s="283"/>
      <c r="CF13" s="283"/>
      <c r="CG13" s="283"/>
      <c r="CH13" s="283"/>
      <c r="CI13" s="283"/>
      <c r="CJ13" s="283"/>
      <c r="CK13" s="283"/>
      <c r="CL13" s="283"/>
      <c r="CM13" s="283"/>
      <c r="CN13" s="283"/>
      <c r="CO13" s="283"/>
      <c r="CP13" s="283"/>
      <c r="CQ13" s="283"/>
      <c r="CR13" s="283"/>
      <c r="CS13" s="283"/>
      <c r="CT13" s="283"/>
      <c r="CU13" s="283"/>
      <c r="CV13" s="283"/>
    </row>
    <row r="14" spans="1:100" s="253" customFormat="1" ht="15.75">
      <c r="A14" s="270" t="s">
        <v>30</v>
      </c>
      <c r="B14" s="266" t="s">
        <v>380</v>
      </c>
      <c r="C14" s="802">
        <f>IF(A14="No","",1-'RF model'!$C$14)</f>
      </c>
      <c r="D14" s="254"/>
      <c r="E14" s="255">
        <f>IF(A14="No","",0.6)</f>
      </c>
      <c r="F14" s="762" t="s">
        <v>17</v>
      </c>
      <c r="G14" s="256">
        <f>IF(A14="No","",IF(F14="Use Default",13.3*(VLOOKUP('Start Page'!$G$4,'RF Workings'!$E$3:$G$13,2)/'RF Workings'!$F$7),""))</f>
      </c>
      <c r="H14" s="762" t="s">
        <v>17</v>
      </c>
      <c r="I14" s="256">
        <f>IF(A14="No","",IF(H14="Use Default",0.7*(VLOOKUP('Start Page'!$G$4,'RF Workings'!$E$3:$G$13,2)/'RF Workings'!$F$7),""))</f>
      </c>
      <c r="J14" s="257" t="s">
        <v>17</v>
      </c>
      <c r="K14" s="801">
        <f>IF(A14="No","",IF(J14="Use Default",IF($F$1="Non-PTE",$AB$3,$AA$3),""))</f>
      </c>
      <c r="L14" s="258" t="s">
        <v>17</v>
      </c>
      <c r="M14" s="259">
        <f>IF(A14="No","",IF(L14="Use Default",IF($F$1="Non-PTE",$AB$4,$AA$4),""))</f>
      </c>
      <c r="N14" s="258" t="s">
        <v>17</v>
      </c>
      <c r="O14" s="800">
        <f>IF(A14="No","",IF(N14="Use Default",IF($F$1="Non-PTE",$AB$5,$AA$5),""))</f>
      </c>
      <c r="P14" s="258" t="s">
        <v>17</v>
      </c>
      <c r="Q14" s="801">
        <f>IF(A14="No","",(IF(P14="Use Default",IF($F$1="Non-PTE",$AB$6,$AA$6),"")))</f>
      </c>
      <c r="R14" s="260"/>
      <c r="S14" s="258" t="s">
        <v>17</v>
      </c>
      <c r="T14" s="303">
        <f>IF(A14="No","",IF(S14="Use Default",IF('MCC Model '!$F$1="Non-PTE",$AB$7,$AA$7),""))</f>
      </c>
      <c r="U14" s="255">
        <f>IF(A14="No","",0.66)</f>
      </c>
      <c r="V14" s="433">
        <f>IF(A14="Yes",(IF(BA14&lt;0,0,BA14)),"")</f>
      </c>
      <c r="W14" s="434">
        <f>IF(A14="Yes",V14*C14*D14,"")</f>
      </c>
      <c r="X14" s="275"/>
      <c r="Y14" s="278"/>
      <c r="Z14" s="278"/>
      <c r="AA14" s="278">
        <f>IF(F4="Non-PTE",AB11,AA11)</f>
        <v>6</v>
      </c>
      <c r="AB14" s="279" t="e">
        <f>IF(AND(N14="Use Default",P14="Use Default"),Q14/O14,IF(AND(N14="Use Local Value",P14="Use Default"),Q14/O15,IF(AND(N14="Use Default",P14="Use Local Value"),Q15/O14,IF(AND(N14="Use Local Value",P14="Use Local Value"),Q15/O15))))*IF($M14="",$M15,$M14)/IF($Q14="",Q15,$Q14)</f>
        <v>#VALUE!</v>
      </c>
      <c r="AC14" s="279" t="e">
        <f>AA14*AB14</f>
        <v>#VALUE!</v>
      </c>
      <c r="AD14" s="279" t="e">
        <f>1/IF(Q14="",Q15,Q14)</f>
        <v>#DIV/0!</v>
      </c>
      <c r="AE14" s="279" t="e">
        <f>AA14*((AC14+AD14)/AC14)^E14</f>
        <v>#VALUE!</v>
      </c>
      <c r="AF14" s="279" t="e">
        <f>AA14/((IF(K14="",K15,K14)/(IF(Q14="",Q15,Q14)*2)))</f>
        <v>#DIV/0!</v>
      </c>
      <c r="AG14" s="279" t="e">
        <f>AF14/2</f>
        <v>#DIV/0!</v>
      </c>
      <c r="AH14" s="279" t="e">
        <f>AE14/((IF(K14="",K15,K14)/(IF(Q14="",Q15,Q14)*2)))</f>
        <v>#VALUE!</v>
      </c>
      <c r="AI14" s="279" t="e">
        <f>AH14/2</f>
        <v>#VALUE!</v>
      </c>
      <c r="AJ14" s="279" t="e">
        <f>AI14-AG14</f>
        <v>#VALUE!</v>
      </c>
      <c r="AK14" s="280" t="e">
        <f>AJ14*IF(F14="Use Default",G14,G15)</f>
        <v>#VALUE!</v>
      </c>
      <c r="AL14" s="279" t="e">
        <f>AA14*IF(K14="",K15,K14)/((IF(K14="",K15,K14)/(IF(Q14="",Q15,Q14)*2)))</f>
        <v>#DIV/0!</v>
      </c>
      <c r="AM14" s="278" t="e">
        <f>AL14/2</f>
        <v>#DIV/0!</v>
      </c>
      <c r="AN14" s="279" t="e">
        <f>AE14*IF(K14="",K15,K14)/((IF(K14="",K15,K14)/(IF(Q14="",Q15,Q14)*2)))</f>
        <v>#VALUE!</v>
      </c>
      <c r="AO14" s="278" t="e">
        <f>AN14/2</f>
        <v>#VALUE!</v>
      </c>
      <c r="AP14" s="278" t="e">
        <f>AO14-AM14</f>
        <v>#VALUE!</v>
      </c>
      <c r="AQ14" s="280" t="e">
        <f>AP14*IF(H14="Use Default",I14,I15)</f>
        <v>#VALUE!</v>
      </c>
      <c r="AR14" s="280" t="e">
        <f>AQ14+AK14</f>
        <v>#VALUE!</v>
      </c>
      <c r="AS14" s="281" t="e">
        <f>(AE14-AA14)/AA14</f>
        <v>#VALUE!</v>
      </c>
      <c r="AT14" s="281" t="e">
        <f>AS14*U14</f>
        <v>#VALUE!</v>
      </c>
      <c r="AU14" s="282" t="e">
        <f>AC14*IF(Q14="",Q15,Q14)*2</f>
        <v>#VALUE!</v>
      </c>
      <c r="AV14" s="278" t="e">
        <f>AU14/2</f>
        <v>#VALUE!</v>
      </c>
      <c r="AW14" s="282" t="e">
        <f>AV14*IF(T14="",T15,T14)</f>
        <v>#VALUE!</v>
      </c>
      <c r="AX14" s="279" t="e">
        <f>AW14*AT14</f>
        <v>#VALUE!</v>
      </c>
      <c r="AY14" s="280" t="e">
        <f>AX14*R14</f>
        <v>#VALUE!</v>
      </c>
      <c r="AZ14" s="280" t="e">
        <f>AX14*'AC model'!$D$18</f>
        <v>#VALUE!</v>
      </c>
      <c r="BA14" s="280" t="e">
        <f>AR14-AY14+AZ14</f>
        <v>#VALUE!</v>
      </c>
      <c r="BB14" s="278"/>
      <c r="BC14" s="278"/>
      <c r="BD14" s="278"/>
      <c r="BE14" s="278"/>
      <c r="BF14" s="278"/>
      <c r="BG14" s="278"/>
      <c r="BH14" s="278"/>
      <c r="BI14" s="278"/>
      <c r="BJ14" s="278"/>
      <c r="BK14" s="278"/>
      <c r="BL14" s="278"/>
      <c r="BM14" s="278"/>
      <c r="BN14" s="278"/>
      <c r="BO14" s="278"/>
      <c r="BP14" s="278"/>
      <c r="BQ14" s="278"/>
      <c r="BR14" s="278"/>
      <c r="BS14" s="278"/>
      <c r="BT14" s="278"/>
      <c r="BU14" s="278"/>
      <c r="BV14" s="278"/>
      <c r="BW14" s="278"/>
      <c r="BX14" s="278"/>
      <c r="BY14" s="278"/>
      <c r="BZ14" s="278"/>
      <c r="CA14" s="278"/>
      <c r="CB14" s="278"/>
      <c r="CC14" s="278"/>
      <c r="CD14" s="278"/>
      <c r="CE14" s="278"/>
      <c r="CF14" s="278"/>
      <c r="CG14" s="278"/>
      <c r="CH14" s="278"/>
      <c r="CI14" s="278"/>
      <c r="CJ14" s="278"/>
      <c r="CK14" s="278"/>
      <c r="CL14" s="278"/>
      <c r="CM14" s="278"/>
      <c r="CN14" s="278"/>
      <c r="CO14" s="278"/>
      <c r="CP14" s="278"/>
      <c r="CQ14" s="278"/>
      <c r="CR14" s="278"/>
      <c r="CS14" s="278"/>
      <c r="CT14" s="278"/>
      <c r="CU14" s="278"/>
      <c r="CV14" s="278"/>
    </row>
    <row r="15" spans="1:100" s="231" customFormat="1" ht="15.75">
      <c r="A15" s="271"/>
      <c r="B15" s="267"/>
      <c r="C15" s="222"/>
      <c r="D15" s="222"/>
      <c r="E15" s="222"/>
      <c r="F15" s="224">
        <f>IF(F14="Use Local Value","Enter Local Value","")</f>
      </c>
      <c r="G15" s="763"/>
      <c r="H15" s="224">
        <f>IF(H14="Use Local Value","Enter Local Value","")</f>
      </c>
      <c r="I15" s="763"/>
      <c r="J15" s="224">
        <f>IF(J14="Use Local Value","Enter Local Value","")</f>
      </c>
      <c r="K15" s="225"/>
      <c r="L15" s="224">
        <f>IF(L14="Use Local Value","Enter Local Value","")</f>
      </c>
      <c r="M15" s="226"/>
      <c r="N15" s="224">
        <f>IF(N14="Use Local Value","Enter Local Value","")</f>
      </c>
      <c r="O15" s="226"/>
      <c r="P15" s="224">
        <f>IF(P14="Use Local Value","Enter Local Value","")</f>
      </c>
      <c r="Q15" s="226"/>
      <c r="R15" s="222"/>
      <c r="S15" s="224">
        <f>IF(S14="Use Local Value","Enter Local Value","")</f>
      </c>
      <c r="T15" s="304"/>
      <c r="U15" s="222"/>
      <c r="V15" s="222"/>
      <c r="W15" s="245"/>
      <c r="X15" s="245"/>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7"/>
      <c r="BH15" s="247"/>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6"/>
      <c r="CE15" s="246"/>
      <c r="CF15" s="246"/>
      <c r="CG15" s="246"/>
      <c r="CH15" s="246"/>
      <c r="CI15" s="246"/>
      <c r="CJ15" s="246"/>
      <c r="CK15" s="246"/>
      <c r="CL15" s="246"/>
      <c r="CM15" s="246"/>
      <c r="CN15" s="246"/>
      <c r="CO15" s="246"/>
      <c r="CP15" s="246"/>
      <c r="CQ15" s="246"/>
      <c r="CR15" s="246"/>
      <c r="CS15" s="246"/>
      <c r="CT15" s="246"/>
      <c r="CU15" s="246"/>
      <c r="CV15" s="246"/>
    </row>
    <row r="16" spans="1:100" s="248" customFormat="1" ht="17.25" customHeight="1" thickBot="1">
      <c r="A16" s="272"/>
      <c r="B16" s="268"/>
      <c r="C16" s="249"/>
      <c r="D16" s="249"/>
      <c r="E16" s="249"/>
      <c r="F16" s="249"/>
      <c r="G16" s="249"/>
      <c r="H16" s="249"/>
      <c r="I16" s="249"/>
      <c r="J16" s="250"/>
      <c r="K16" s="251"/>
      <c r="L16" s="250"/>
      <c r="M16" s="252"/>
      <c r="N16" s="250"/>
      <c r="O16" s="252"/>
      <c r="P16" s="250"/>
      <c r="Q16" s="252"/>
      <c r="R16" s="249"/>
      <c r="S16" s="250"/>
      <c r="T16" s="305"/>
      <c r="U16" s="249"/>
      <c r="V16" s="249"/>
      <c r="W16" s="249"/>
      <c r="X16" s="276"/>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3"/>
      <c r="AZ16" s="283"/>
      <c r="BA16" s="283"/>
      <c r="BB16" s="283"/>
      <c r="BC16" s="283"/>
      <c r="BD16" s="283"/>
      <c r="BE16" s="283"/>
      <c r="BF16" s="283"/>
      <c r="BG16" s="284"/>
      <c r="BH16" s="284"/>
      <c r="BI16" s="283"/>
      <c r="BJ16" s="283"/>
      <c r="BK16" s="283"/>
      <c r="BL16" s="283"/>
      <c r="BM16" s="283"/>
      <c r="BN16" s="283"/>
      <c r="BO16" s="283"/>
      <c r="BP16" s="283"/>
      <c r="BQ16" s="283"/>
      <c r="BR16" s="283"/>
      <c r="BS16" s="283"/>
      <c r="BT16" s="283"/>
      <c r="BU16" s="283"/>
      <c r="BV16" s="283"/>
      <c r="BW16" s="283"/>
      <c r="BX16" s="283"/>
      <c r="BY16" s="283"/>
      <c r="BZ16" s="283"/>
      <c r="CA16" s="283"/>
      <c r="CB16" s="283"/>
      <c r="CC16" s="283"/>
      <c r="CD16" s="283"/>
      <c r="CE16" s="283"/>
      <c r="CF16" s="283"/>
      <c r="CG16" s="283"/>
      <c r="CH16" s="283"/>
      <c r="CI16" s="283"/>
      <c r="CJ16" s="283"/>
      <c r="CK16" s="283"/>
      <c r="CL16" s="283"/>
      <c r="CM16" s="283"/>
      <c r="CN16" s="283"/>
      <c r="CO16" s="283"/>
      <c r="CP16" s="283"/>
      <c r="CQ16" s="283"/>
      <c r="CR16" s="283"/>
      <c r="CS16" s="283"/>
      <c r="CT16" s="283"/>
      <c r="CU16" s="283"/>
      <c r="CV16" s="283"/>
    </row>
    <row r="17" spans="1:100" s="253" customFormat="1" ht="15.75">
      <c r="A17" s="270" t="s">
        <v>30</v>
      </c>
      <c r="B17" s="266" t="s">
        <v>380</v>
      </c>
      <c r="C17" s="802">
        <f>IF(A17="No","",1-'RF model'!$C$14)</f>
      </c>
      <c r="D17" s="254"/>
      <c r="E17" s="255">
        <f>IF(A17="No","",0.6)</f>
      </c>
      <c r="F17" s="762" t="s">
        <v>17</v>
      </c>
      <c r="G17" s="256">
        <f>IF(A17="No","",IF(F17="Use Default",13.3*(VLOOKUP('Start Page'!$G$4,'RF Workings'!$E$3:$G$13,2)/'RF Workings'!$F$7),""))</f>
      </c>
      <c r="H17" s="762" t="s">
        <v>17</v>
      </c>
      <c r="I17" s="256">
        <f>IF(A17="No","",IF(H17="Use Default",0.7*(VLOOKUP('Start Page'!$G$4,'RF Workings'!$E$3:$G$13,2)/'RF Workings'!$F$7),""))</f>
      </c>
      <c r="J17" s="257" t="s">
        <v>17</v>
      </c>
      <c r="K17" s="801">
        <f>IF(A17="No","",IF(J17="Use Default",IF($F$1="Non-PTE",$AB$3,$AA$3),""))</f>
      </c>
      <c r="L17" s="258" t="s">
        <v>17</v>
      </c>
      <c r="M17" s="259">
        <f>IF(A17="No","",IF(L17="Use Default",IF($F$1="Non-PTE",$AB$4,$AA$4),""))</f>
      </c>
      <c r="N17" s="258" t="s">
        <v>17</v>
      </c>
      <c r="O17" s="800">
        <f>IF(A17="No","",IF(N17="Use Default",IF($F$1="Non-PTE",$AB$5,$AA$5),""))</f>
      </c>
      <c r="P17" s="258" t="s">
        <v>17</v>
      </c>
      <c r="Q17" s="801">
        <f>IF(A17="No","",(IF(P17="Use Default",IF($F$1="Non-PTE",$AB$6,$AA$6),"")))</f>
      </c>
      <c r="R17" s="260"/>
      <c r="S17" s="258" t="s">
        <v>17</v>
      </c>
      <c r="T17" s="303">
        <f>IF(A17="No","",IF(S17="Use Default",IF('MCC Model '!$F$1="Non-PTE",$AB$7,$AA$7),""))</f>
      </c>
      <c r="U17" s="255">
        <f>IF(A17="No","",0.66)</f>
      </c>
      <c r="V17" s="433">
        <f>IF(A17="Yes",(IF(BA17&lt;0,0,BA17)),"")</f>
      </c>
      <c r="W17" s="434">
        <f>IF(A17="Yes",V17*C17*D17,"")</f>
      </c>
      <c r="X17" s="275"/>
      <c r="Y17" s="278"/>
      <c r="Z17" s="278"/>
      <c r="AA17" s="278">
        <f>IF(F7="Non-PTE",AB14,AA14)</f>
        <v>6</v>
      </c>
      <c r="AB17" s="279" t="e">
        <f>IF(AND(N17="Use Default",P17="Use Default"),Q17/O17,IF(AND(N17="Use Local Value",P17="Use Default"),Q17/O18,IF(AND(N17="Use Default",P17="Use Local Value"),Q18/O17,IF(AND(N17="Use Local Value",P17="Use Local Value"),Q18/O18))))*IF($M17="",$M18,$M17)/IF($Q17="",Q18,$Q17)</f>
        <v>#VALUE!</v>
      </c>
      <c r="AC17" s="279" t="e">
        <f>AA17*AB17</f>
        <v>#VALUE!</v>
      </c>
      <c r="AD17" s="279" t="e">
        <f>1/IF(Q17="",Q18,Q17)</f>
        <v>#DIV/0!</v>
      </c>
      <c r="AE17" s="279" t="e">
        <f>AA17*((AC17+AD17)/AC17)^E17</f>
        <v>#VALUE!</v>
      </c>
      <c r="AF17" s="279" t="e">
        <f>AA17/((IF(K17="",K18,K17)/(IF(Q17="",Q18,Q17)*2)))</f>
        <v>#DIV/0!</v>
      </c>
      <c r="AG17" s="279" t="e">
        <f>AF17/2</f>
        <v>#DIV/0!</v>
      </c>
      <c r="AH17" s="279" t="e">
        <f>AE17/((IF(K17="",K18,K17)/(IF(Q17="",Q18,Q17)*2)))</f>
        <v>#VALUE!</v>
      </c>
      <c r="AI17" s="279" t="e">
        <f>AH17/2</f>
        <v>#VALUE!</v>
      </c>
      <c r="AJ17" s="279" t="e">
        <f>AI17-AG17</f>
        <v>#VALUE!</v>
      </c>
      <c r="AK17" s="280" t="e">
        <f>AJ17*IF(F17="Use Default",G17,G18)</f>
        <v>#VALUE!</v>
      </c>
      <c r="AL17" s="279" t="e">
        <f>AA17*IF(K17="",K18,K17)/((IF(K17="",K18,K17)/(IF(Q17="",Q18,Q17)*2)))</f>
        <v>#DIV/0!</v>
      </c>
      <c r="AM17" s="278" t="e">
        <f>AL17/2</f>
        <v>#DIV/0!</v>
      </c>
      <c r="AN17" s="279" t="e">
        <f>AE17*IF(K17="",K18,K17)/((IF(K17="",K18,K17)/(IF(Q17="",Q18,Q17)*2)))</f>
        <v>#VALUE!</v>
      </c>
      <c r="AO17" s="278" t="e">
        <f>AN17/2</f>
        <v>#VALUE!</v>
      </c>
      <c r="AP17" s="278" t="e">
        <f>AO17-AM17</f>
        <v>#VALUE!</v>
      </c>
      <c r="AQ17" s="280" t="e">
        <f>AP17*IF(H17="Use Default",I17,I18)</f>
        <v>#VALUE!</v>
      </c>
      <c r="AR17" s="280" t="e">
        <f>AQ17+AK17</f>
        <v>#VALUE!</v>
      </c>
      <c r="AS17" s="281" t="e">
        <f>(AE17-AA17)/AA17</f>
        <v>#VALUE!</v>
      </c>
      <c r="AT17" s="281" t="e">
        <f>AS17*U17</f>
        <v>#VALUE!</v>
      </c>
      <c r="AU17" s="282" t="e">
        <f>AC17*IF(Q17="",Q18,Q17)*2</f>
        <v>#VALUE!</v>
      </c>
      <c r="AV17" s="278" t="e">
        <f>AU17/2</f>
        <v>#VALUE!</v>
      </c>
      <c r="AW17" s="282" t="e">
        <f>AV17*IF(T17="",T18,T17)</f>
        <v>#VALUE!</v>
      </c>
      <c r="AX17" s="279" t="e">
        <f>AW17*AT17</f>
        <v>#VALUE!</v>
      </c>
      <c r="AY17" s="280" t="e">
        <f>AX17*R17</f>
        <v>#VALUE!</v>
      </c>
      <c r="AZ17" s="280" t="e">
        <f>AX17*'AC model'!$D$18</f>
        <v>#VALUE!</v>
      </c>
      <c r="BA17" s="280" t="e">
        <f>AR17-AY17+AZ17</f>
        <v>#VALUE!</v>
      </c>
      <c r="BB17" s="278"/>
      <c r="BC17" s="278"/>
      <c r="BD17" s="278"/>
      <c r="BE17" s="278"/>
      <c r="BF17" s="278"/>
      <c r="BG17" s="278"/>
      <c r="BH17" s="278"/>
      <c r="BI17" s="278"/>
      <c r="BJ17" s="278"/>
      <c r="BK17" s="278"/>
      <c r="BL17" s="278"/>
      <c r="BM17" s="278"/>
      <c r="BN17" s="278"/>
      <c r="BO17" s="278"/>
      <c r="BP17" s="278"/>
      <c r="BQ17" s="278"/>
      <c r="BR17" s="278"/>
      <c r="BS17" s="278"/>
      <c r="BT17" s="278"/>
      <c r="BU17" s="278"/>
      <c r="BV17" s="278"/>
      <c r="BW17" s="278"/>
      <c r="BX17" s="278"/>
      <c r="BY17" s="278"/>
      <c r="BZ17" s="278"/>
      <c r="CA17" s="278"/>
      <c r="CB17" s="278"/>
      <c r="CC17" s="278"/>
      <c r="CD17" s="278"/>
      <c r="CE17" s="278"/>
      <c r="CF17" s="278"/>
      <c r="CG17" s="278"/>
      <c r="CH17" s="278"/>
      <c r="CI17" s="278"/>
      <c r="CJ17" s="278"/>
      <c r="CK17" s="278"/>
      <c r="CL17" s="278"/>
      <c r="CM17" s="278"/>
      <c r="CN17" s="278"/>
      <c r="CO17" s="278"/>
      <c r="CP17" s="278"/>
      <c r="CQ17" s="278"/>
      <c r="CR17" s="278"/>
      <c r="CS17" s="278"/>
      <c r="CT17" s="278"/>
      <c r="CU17" s="278"/>
      <c r="CV17" s="278"/>
    </row>
    <row r="18" spans="1:100" s="231" customFormat="1" ht="15.75">
      <c r="A18" s="271"/>
      <c r="B18" s="267"/>
      <c r="C18" s="222"/>
      <c r="D18" s="222"/>
      <c r="E18" s="222"/>
      <c r="F18" s="224">
        <f>IF(F17="Use Local Value","Enter Local Value","")</f>
      </c>
      <c r="G18" s="763"/>
      <c r="H18" s="224">
        <f>IF(H17="Use Local Value","Enter Local Value","")</f>
      </c>
      <c r="I18" s="763"/>
      <c r="J18" s="224">
        <f>IF(J17="Use Local Value","Enter Local Value","")</f>
      </c>
      <c r="K18" s="225"/>
      <c r="L18" s="224">
        <f>IF(L17="Use Local Value","Enter Local Value","")</f>
      </c>
      <c r="M18" s="226"/>
      <c r="N18" s="224">
        <f>IF(N17="Use Local Value","Enter Local Value","")</f>
      </c>
      <c r="O18" s="226"/>
      <c r="P18" s="224">
        <f>IF(P17="Use Local Value","Enter Local Value","")</f>
      </c>
      <c r="Q18" s="226"/>
      <c r="R18" s="222"/>
      <c r="S18" s="224">
        <f>IF(S17="Use Local Value","Enter Local Value","")</f>
      </c>
      <c r="T18" s="304"/>
      <c r="U18" s="222"/>
      <c r="V18" s="222"/>
      <c r="W18" s="245"/>
      <c r="X18" s="245"/>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7"/>
      <c r="BH18" s="247"/>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246"/>
      <c r="CV18" s="246"/>
    </row>
    <row r="19" spans="1:100" s="248" customFormat="1" ht="17.25" customHeight="1" thickBot="1">
      <c r="A19" s="272"/>
      <c r="B19" s="268"/>
      <c r="C19" s="249"/>
      <c r="D19" s="249"/>
      <c r="E19" s="249"/>
      <c r="F19" s="249"/>
      <c r="G19" s="249"/>
      <c r="H19" s="249"/>
      <c r="I19" s="249"/>
      <c r="J19" s="250"/>
      <c r="K19" s="251"/>
      <c r="L19" s="250"/>
      <c r="M19" s="252"/>
      <c r="N19" s="250"/>
      <c r="O19" s="252"/>
      <c r="P19" s="250"/>
      <c r="Q19" s="252"/>
      <c r="R19" s="249"/>
      <c r="S19" s="250"/>
      <c r="T19" s="305"/>
      <c r="U19" s="249"/>
      <c r="V19" s="249"/>
      <c r="W19" s="249"/>
      <c r="X19" s="276"/>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4"/>
      <c r="BH19" s="284"/>
      <c r="BI19" s="283"/>
      <c r="BJ19" s="283"/>
      <c r="BK19" s="283"/>
      <c r="BL19" s="283"/>
      <c r="BM19" s="283"/>
      <c r="BN19" s="283"/>
      <c r="BO19" s="283"/>
      <c r="BP19" s="283"/>
      <c r="BQ19" s="283"/>
      <c r="BR19" s="283"/>
      <c r="BS19" s="283"/>
      <c r="BT19" s="283"/>
      <c r="BU19" s="283"/>
      <c r="BV19" s="283"/>
      <c r="BW19" s="283"/>
      <c r="BX19" s="283"/>
      <c r="BY19" s="283"/>
      <c r="BZ19" s="283"/>
      <c r="CA19" s="283"/>
      <c r="CB19" s="283"/>
      <c r="CC19" s="283"/>
      <c r="CD19" s="283"/>
      <c r="CE19" s="283"/>
      <c r="CF19" s="283"/>
      <c r="CG19" s="283"/>
      <c r="CH19" s="283"/>
      <c r="CI19" s="283"/>
      <c r="CJ19" s="283"/>
      <c r="CK19" s="283"/>
      <c r="CL19" s="283"/>
      <c r="CM19" s="283"/>
      <c r="CN19" s="283"/>
      <c r="CO19" s="283"/>
      <c r="CP19" s="283"/>
      <c r="CQ19" s="283"/>
      <c r="CR19" s="283"/>
      <c r="CS19" s="283"/>
      <c r="CT19" s="283"/>
      <c r="CU19" s="283"/>
      <c r="CV19" s="283"/>
    </row>
    <row r="20" spans="1:100" s="253" customFormat="1" ht="15.75">
      <c r="A20" s="270" t="s">
        <v>30</v>
      </c>
      <c r="B20" s="266" t="s">
        <v>380</v>
      </c>
      <c r="C20" s="802">
        <f>IF(A20="No","",1-'RF model'!$C$14)</f>
      </c>
      <c r="D20" s="254"/>
      <c r="E20" s="255">
        <f>IF(A20="No","",0.6)</f>
      </c>
      <c r="F20" s="762" t="s">
        <v>17</v>
      </c>
      <c r="G20" s="256">
        <f>IF(A20="No","",IF(F20="Use Default",13.3*(VLOOKUP('Start Page'!$G$4,'RF Workings'!$E$3:$G$13,2)/'RF Workings'!$F$7),""))</f>
      </c>
      <c r="H20" s="762" t="s">
        <v>17</v>
      </c>
      <c r="I20" s="256">
        <f>IF(A20="No","",IF(H20="Use Default",0.7*(VLOOKUP('Start Page'!$G$4,'RF Workings'!$E$3:$G$13,2)/'RF Workings'!$F$7),""))</f>
      </c>
      <c r="J20" s="257" t="s">
        <v>17</v>
      </c>
      <c r="K20" s="801">
        <f>IF(A20="No","",IF(J20="Use Default",IF($F$1="Non-PTE",$AB$3,$AA$3),""))</f>
      </c>
      <c r="L20" s="258" t="s">
        <v>17</v>
      </c>
      <c r="M20" s="259">
        <f>IF(A20="No","",IF(L20="Use Default",IF($F$1="Non-PTE",$AB$4,$AA$4),""))</f>
      </c>
      <c r="N20" s="258" t="s">
        <v>17</v>
      </c>
      <c r="O20" s="800">
        <f>IF(A20="No","",IF(N20="Use Default",IF($F$1="Non-PTE",$AB$5,$AA$5),""))</f>
      </c>
      <c r="P20" s="258" t="s">
        <v>17</v>
      </c>
      <c r="Q20" s="801">
        <f>IF(A20="No","",(IF(P20="Use Default",IF($F$1="Non-PTE",$AB$6,$AA$6),"")))</f>
      </c>
      <c r="R20" s="260"/>
      <c r="S20" s="258" t="s">
        <v>17</v>
      </c>
      <c r="T20" s="303">
        <f>IF(A20="No","",IF(S20="Use Default",IF('MCC Model '!$F$1="Non-PTE",$AB$7,$AA$7),""))</f>
      </c>
      <c r="U20" s="255">
        <f>IF(A20="No","",0.66)</f>
      </c>
      <c r="V20" s="433">
        <f>IF(A20="Yes",(IF(BA20&lt;0,0,BA20)),"")</f>
      </c>
      <c r="W20" s="434">
        <f>IF(A20="Yes",V20*C20*D20,"")</f>
      </c>
      <c r="X20" s="275"/>
      <c r="Y20" s="278"/>
      <c r="Z20" s="278"/>
      <c r="AA20" s="278">
        <f>IF(F10="Non-PTE",AB17,AA17)</f>
        <v>6</v>
      </c>
      <c r="AB20" s="279" t="e">
        <f>IF(AND(N20="Use Default",P20="Use Default"),Q20/O20,IF(AND(N20="Use Local Value",P20="Use Default"),Q20/O21,IF(AND(N20="Use Default",P20="Use Local Value"),Q21/O20,IF(AND(N20="Use Local Value",P20="Use Local Value"),Q21/O21))))*IF($M20="",$M21,$M20)/IF($Q20="",Q21,$Q20)</f>
        <v>#VALUE!</v>
      </c>
      <c r="AC20" s="279" t="e">
        <f>AA20*AB20</f>
        <v>#VALUE!</v>
      </c>
      <c r="AD20" s="279" t="e">
        <f>1/IF(Q20="",Q21,Q20)</f>
        <v>#DIV/0!</v>
      </c>
      <c r="AE20" s="279" t="e">
        <f>AA20*((AC20+AD20)/AC20)^E20</f>
        <v>#VALUE!</v>
      </c>
      <c r="AF20" s="279" t="e">
        <f>AA20/((IF(K20="",K21,K20)/(IF(Q20="",Q21,Q20)*2)))</f>
        <v>#DIV/0!</v>
      </c>
      <c r="AG20" s="279" t="e">
        <f>AF20/2</f>
        <v>#DIV/0!</v>
      </c>
      <c r="AH20" s="279" t="e">
        <f>AE20/((IF(K20="",K21,K20)/(IF(Q20="",Q21,Q20)*2)))</f>
        <v>#VALUE!</v>
      </c>
      <c r="AI20" s="279" t="e">
        <f>AH20/2</f>
        <v>#VALUE!</v>
      </c>
      <c r="AJ20" s="279" t="e">
        <f>AI20-AG20</f>
        <v>#VALUE!</v>
      </c>
      <c r="AK20" s="280" t="e">
        <f>AJ20*IF(F20="Use Default",G20,G21)</f>
        <v>#VALUE!</v>
      </c>
      <c r="AL20" s="279" t="e">
        <f>AA20*IF(K20="",K21,K20)/((IF(K20="",K21,K20)/(IF(Q20="",Q21,Q20)*2)))</f>
        <v>#DIV/0!</v>
      </c>
      <c r="AM20" s="278" t="e">
        <f>AL20/2</f>
        <v>#DIV/0!</v>
      </c>
      <c r="AN20" s="279" t="e">
        <f>AE20*IF(K20="",K21,K20)/((IF(K20="",K21,K20)/(IF(Q20="",Q21,Q20)*2)))</f>
        <v>#VALUE!</v>
      </c>
      <c r="AO20" s="278" t="e">
        <f>AN20/2</f>
        <v>#VALUE!</v>
      </c>
      <c r="AP20" s="278" t="e">
        <f>AO20-AM20</f>
        <v>#VALUE!</v>
      </c>
      <c r="AQ20" s="280" t="e">
        <f>AP20*IF(H20="Use Default",I20,I21)</f>
        <v>#VALUE!</v>
      </c>
      <c r="AR20" s="280" t="e">
        <f>AQ20+AK20</f>
        <v>#VALUE!</v>
      </c>
      <c r="AS20" s="281" t="e">
        <f>(AE20-AA20)/AA20</f>
        <v>#VALUE!</v>
      </c>
      <c r="AT20" s="281" t="e">
        <f>AS20*U20</f>
        <v>#VALUE!</v>
      </c>
      <c r="AU20" s="282" t="e">
        <f>AC20*IF(Q20="",Q21,Q20)*2</f>
        <v>#VALUE!</v>
      </c>
      <c r="AV20" s="278" t="e">
        <f>AU20/2</f>
        <v>#VALUE!</v>
      </c>
      <c r="AW20" s="282" t="e">
        <f>AV20*IF(T20="",T21,T20)</f>
        <v>#VALUE!</v>
      </c>
      <c r="AX20" s="279" t="e">
        <f>AW20*AT20</f>
        <v>#VALUE!</v>
      </c>
      <c r="AY20" s="280" t="e">
        <f>AX20*R20</f>
        <v>#VALUE!</v>
      </c>
      <c r="AZ20" s="280" t="e">
        <f>AX20*'AC model'!$D$18</f>
        <v>#VALUE!</v>
      </c>
      <c r="BA20" s="280" t="e">
        <f>AR20-AY20+AZ20</f>
        <v>#VALUE!</v>
      </c>
      <c r="BB20" s="278"/>
      <c r="BC20" s="278"/>
      <c r="BD20" s="278"/>
      <c r="BE20" s="278"/>
      <c r="BF20" s="278"/>
      <c r="BG20" s="278"/>
      <c r="BH20" s="278"/>
      <c r="BI20" s="278"/>
      <c r="BJ20" s="278"/>
      <c r="BK20" s="278"/>
      <c r="BL20" s="278"/>
      <c r="BM20" s="278"/>
      <c r="BN20" s="278"/>
      <c r="BO20" s="278"/>
      <c r="BP20" s="278"/>
      <c r="BQ20" s="278"/>
      <c r="BR20" s="278"/>
      <c r="BS20" s="278"/>
      <c r="BT20" s="278"/>
      <c r="BU20" s="278"/>
      <c r="BV20" s="278"/>
      <c r="BW20" s="278"/>
      <c r="BX20" s="278"/>
      <c r="BY20" s="278"/>
      <c r="BZ20" s="278"/>
      <c r="CA20" s="278"/>
      <c r="CB20" s="278"/>
      <c r="CC20" s="278"/>
      <c r="CD20" s="278"/>
      <c r="CE20" s="278"/>
      <c r="CF20" s="278"/>
      <c r="CG20" s="278"/>
      <c r="CH20" s="278"/>
      <c r="CI20" s="278"/>
      <c r="CJ20" s="278"/>
      <c r="CK20" s="278"/>
      <c r="CL20" s="278"/>
      <c r="CM20" s="278"/>
      <c r="CN20" s="278"/>
      <c r="CO20" s="278"/>
      <c r="CP20" s="278"/>
      <c r="CQ20" s="278"/>
      <c r="CR20" s="278"/>
      <c r="CS20" s="278"/>
      <c r="CT20" s="278"/>
      <c r="CU20" s="278"/>
      <c r="CV20" s="278"/>
    </row>
    <row r="21" spans="1:100" s="231" customFormat="1" ht="15.75">
      <c r="A21" s="271"/>
      <c r="B21" s="267"/>
      <c r="C21" s="222"/>
      <c r="D21" s="222"/>
      <c r="E21" s="222"/>
      <c r="F21" s="224">
        <f>IF(F20="Use Local Value","Enter Local Value","")</f>
      </c>
      <c r="G21" s="763"/>
      <c r="H21" s="224">
        <f>IF(H20="Use Local Value","Enter Local Value","")</f>
      </c>
      <c r="I21" s="763"/>
      <c r="J21" s="224">
        <f>IF(J20="Use Local Value","Enter Local Value","")</f>
      </c>
      <c r="K21" s="225"/>
      <c r="L21" s="224">
        <f>IF(L20="Use Local Value","Enter Local Value","")</f>
      </c>
      <c r="M21" s="226"/>
      <c r="N21" s="224">
        <f>IF(N20="Use Local Value","Enter Local Value","")</f>
      </c>
      <c r="O21" s="226"/>
      <c r="P21" s="224">
        <f>IF(P20="Use Local Value","Enter Local Value","")</f>
      </c>
      <c r="Q21" s="226"/>
      <c r="R21" s="222"/>
      <c r="S21" s="224">
        <f>IF(S20="Use Local Value","Enter Local Value","")</f>
      </c>
      <c r="T21" s="304"/>
      <c r="U21" s="222"/>
      <c r="V21" s="222"/>
      <c r="W21" s="245"/>
      <c r="X21" s="245"/>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6"/>
      <c r="BG21" s="247"/>
      <c r="BH21" s="247"/>
      <c r="BI21" s="246"/>
      <c r="BJ21" s="246"/>
      <c r="BK21" s="246"/>
      <c r="BL21" s="246"/>
      <c r="BM21" s="246"/>
      <c r="BN21" s="246"/>
      <c r="BO21" s="246"/>
      <c r="BP21" s="246"/>
      <c r="BQ21" s="246"/>
      <c r="BR21" s="246"/>
      <c r="BS21" s="246"/>
      <c r="BT21" s="246"/>
      <c r="BU21" s="246"/>
      <c r="BV21" s="246"/>
      <c r="BW21" s="246"/>
      <c r="BX21" s="246"/>
      <c r="BY21" s="246"/>
      <c r="BZ21" s="246"/>
      <c r="CA21" s="246"/>
      <c r="CB21" s="246"/>
      <c r="CC21" s="246"/>
      <c r="CD21" s="246"/>
      <c r="CE21" s="246"/>
      <c r="CF21" s="246"/>
      <c r="CG21" s="246"/>
      <c r="CH21" s="246"/>
      <c r="CI21" s="246"/>
      <c r="CJ21" s="246"/>
      <c r="CK21" s="246"/>
      <c r="CL21" s="246"/>
      <c r="CM21" s="246"/>
      <c r="CN21" s="246"/>
      <c r="CO21" s="246"/>
      <c r="CP21" s="246"/>
      <c r="CQ21" s="246"/>
      <c r="CR21" s="246"/>
      <c r="CS21" s="246"/>
      <c r="CT21" s="246"/>
      <c r="CU21" s="246"/>
      <c r="CV21" s="246"/>
    </row>
    <row r="22" spans="1:100" s="248" customFormat="1" ht="17.25" customHeight="1" thickBot="1">
      <c r="A22" s="272"/>
      <c r="B22" s="268"/>
      <c r="C22" s="249"/>
      <c r="D22" s="249"/>
      <c r="E22" s="249"/>
      <c r="F22" s="249"/>
      <c r="G22" s="249"/>
      <c r="H22" s="249"/>
      <c r="I22" s="249"/>
      <c r="J22" s="250"/>
      <c r="K22" s="251"/>
      <c r="L22" s="250"/>
      <c r="M22" s="252"/>
      <c r="N22" s="250"/>
      <c r="O22" s="252"/>
      <c r="P22" s="250"/>
      <c r="Q22" s="252"/>
      <c r="R22" s="249"/>
      <c r="S22" s="250"/>
      <c r="T22" s="305"/>
      <c r="U22" s="249"/>
      <c r="V22" s="249"/>
      <c r="W22" s="249"/>
      <c r="X22" s="276"/>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3"/>
      <c r="AZ22" s="283"/>
      <c r="BA22" s="283"/>
      <c r="BB22" s="283"/>
      <c r="BC22" s="283"/>
      <c r="BD22" s="283"/>
      <c r="BE22" s="283"/>
      <c r="BF22" s="283"/>
      <c r="BG22" s="284"/>
      <c r="BH22" s="284"/>
      <c r="BI22" s="283"/>
      <c r="BJ22" s="283"/>
      <c r="BK22" s="283"/>
      <c r="BL22" s="283"/>
      <c r="BM22" s="283"/>
      <c r="BN22" s="283"/>
      <c r="BO22" s="283"/>
      <c r="BP22" s="283"/>
      <c r="BQ22" s="283"/>
      <c r="BR22" s="283"/>
      <c r="BS22" s="283"/>
      <c r="BT22" s="283"/>
      <c r="BU22" s="283"/>
      <c r="BV22" s="283"/>
      <c r="BW22" s="283"/>
      <c r="BX22" s="283"/>
      <c r="BY22" s="283"/>
      <c r="BZ22" s="283"/>
      <c r="CA22" s="283"/>
      <c r="CB22" s="283"/>
      <c r="CC22" s="283"/>
      <c r="CD22" s="283"/>
      <c r="CE22" s="283"/>
      <c r="CF22" s="283"/>
      <c r="CG22" s="283"/>
      <c r="CH22" s="283"/>
      <c r="CI22" s="283"/>
      <c r="CJ22" s="283"/>
      <c r="CK22" s="283"/>
      <c r="CL22" s="283"/>
      <c r="CM22" s="283"/>
      <c r="CN22" s="283"/>
      <c r="CO22" s="283"/>
      <c r="CP22" s="283"/>
      <c r="CQ22" s="283"/>
      <c r="CR22" s="283"/>
      <c r="CS22" s="283"/>
      <c r="CT22" s="283"/>
      <c r="CU22" s="283"/>
      <c r="CV22" s="283"/>
    </row>
    <row r="23" spans="1:100" s="253" customFormat="1" ht="15.75">
      <c r="A23" s="270" t="s">
        <v>30</v>
      </c>
      <c r="B23" s="266" t="s">
        <v>380</v>
      </c>
      <c r="C23" s="802">
        <f>IF(A23="No","",1-'RF model'!$C$14)</f>
      </c>
      <c r="D23" s="254"/>
      <c r="E23" s="255">
        <f>IF(A23="No","",0.6)</f>
      </c>
      <c r="F23" s="762" t="s">
        <v>17</v>
      </c>
      <c r="G23" s="256">
        <f>IF(A23="No","",IF(F23="Use Default",13.3*(VLOOKUP('Start Page'!$G$4,'RF Workings'!$E$3:$G$13,2)/'RF Workings'!$F$7),""))</f>
      </c>
      <c r="H23" s="762" t="s">
        <v>17</v>
      </c>
      <c r="I23" s="256">
        <f>IF(A23="No","",IF(H23="Use Default",0.7*(VLOOKUP('Start Page'!$G$4,'RF Workings'!$E$3:$G$13,2)/'RF Workings'!$F$7),""))</f>
      </c>
      <c r="J23" s="257" t="s">
        <v>17</v>
      </c>
      <c r="K23" s="801">
        <f>IF(A23="No","",IF(J23="Use Default",IF($F$1="Non-PTE",$AB$3,$AA$3),""))</f>
      </c>
      <c r="L23" s="258" t="s">
        <v>17</v>
      </c>
      <c r="M23" s="259">
        <f>IF(A23="No","",IF(L23="Use Default",IF($F$1="Non-PTE",$AB$4,$AA$4),""))</f>
      </c>
      <c r="N23" s="258" t="s">
        <v>17</v>
      </c>
      <c r="O23" s="800">
        <f>IF(A23="No","",IF(N23="Use Default",IF($F$1="Non-PTE",$AB$5,$AA$5),""))</f>
      </c>
      <c r="P23" s="258" t="s">
        <v>17</v>
      </c>
      <c r="Q23" s="801">
        <f>IF(A23="No","",(IF(P23="Use Default",IF($F$1="Non-PTE",$AB$6,$AA$6),"")))</f>
      </c>
      <c r="R23" s="260"/>
      <c r="S23" s="258" t="s">
        <v>17</v>
      </c>
      <c r="T23" s="303">
        <f>IF(A23="No","",IF(S23="Use Default",IF('MCC Model '!$F$1="Non-PTE",$AB$7,$AA$7),""))</f>
      </c>
      <c r="U23" s="255">
        <f>IF(A23="No","",0.66)</f>
      </c>
      <c r="V23" s="433">
        <f>IF(A23="Yes",(IF(BA23&lt;0,0,BA23)),"")</f>
      </c>
      <c r="W23" s="434">
        <f>IF(A23="Yes",V23*C23*D23,"")</f>
      </c>
      <c r="X23" s="275"/>
      <c r="Y23" s="278"/>
      <c r="Z23" s="278"/>
      <c r="AA23" s="278">
        <f>IF(F13="Non-PTE",AB20,AA20)</f>
        <v>6</v>
      </c>
      <c r="AB23" s="279" t="e">
        <f>IF(AND(N23="Use Default",P23="Use Default"),Q23/O23,IF(AND(N23="Use Local Value",P23="Use Default"),Q23/O24,IF(AND(N23="Use Default",P23="Use Local Value"),Q24/O23,IF(AND(N23="Use Local Value",P23="Use Local Value"),Q24/O24))))*IF($M23="",$M24,$M23)/IF($Q23="",Q24,$Q23)</f>
        <v>#VALUE!</v>
      </c>
      <c r="AC23" s="279" t="e">
        <f>AA23*AB23</f>
        <v>#VALUE!</v>
      </c>
      <c r="AD23" s="279" t="e">
        <f>1/IF(Q23="",Q24,Q23)</f>
        <v>#DIV/0!</v>
      </c>
      <c r="AE23" s="279" t="e">
        <f>AA23*((AC23+AD23)/AC23)^E23</f>
        <v>#VALUE!</v>
      </c>
      <c r="AF23" s="279" t="e">
        <f>AA23/((IF(K23="",K24,K23)/(IF(Q23="",Q24,Q23)*2)))</f>
        <v>#DIV/0!</v>
      </c>
      <c r="AG23" s="279" t="e">
        <f>AF23/2</f>
        <v>#DIV/0!</v>
      </c>
      <c r="AH23" s="279" t="e">
        <f>AE23/((IF(K23="",K24,K23)/(IF(Q23="",Q24,Q23)*2)))</f>
        <v>#VALUE!</v>
      </c>
      <c r="AI23" s="279" t="e">
        <f>AH23/2</f>
        <v>#VALUE!</v>
      </c>
      <c r="AJ23" s="279" t="e">
        <f>AI23-AG23</f>
        <v>#VALUE!</v>
      </c>
      <c r="AK23" s="280" t="e">
        <f>AJ23*IF(F23="Use Default",G23,G24)</f>
        <v>#VALUE!</v>
      </c>
      <c r="AL23" s="279" t="e">
        <f>AA23*IF(K23="",K24,K23)/((IF(K23="",K24,K23)/(IF(Q23="",Q24,Q23)*2)))</f>
        <v>#DIV/0!</v>
      </c>
      <c r="AM23" s="278" t="e">
        <f>AL23/2</f>
        <v>#DIV/0!</v>
      </c>
      <c r="AN23" s="279" t="e">
        <f>AE23*IF(K23="",K24,K23)/((IF(K23="",K24,K23)/(IF(Q23="",Q24,Q23)*2)))</f>
        <v>#VALUE!</v>
      </c>
      <c r="AO23" s="278" t="e">
        <f>AN23/2</f>
        <v>#VALUE!</v>
      </c>
      <c r="AP23" s="278" t="e">
        <f>AO23-AM23</f>
        <v>#VALUE!</v>
      </c>
      <c r="AQ23" s="280" t="e">
        <f>AP23*IF(H23="Use Default",I23,I24)</f>
        <v>#VALUE!</v>
      </c>
      <c r="AR23" s="280" t="e">
        <f>AQ23+AK23</f>
        <v>#VALUE!</v>
      </c>
      <c r="AS23" s="281" t="e">
        <f>(AE23-AA23)/AA23</f>
        <v>#VALUE!</v>
      </c>
      <c r="AT23" s="281" t="e">
        <f>AS23*U23</f>
        <v>#VALUE!</v>
      </c>
      <c r="AU23" s="282" t="e">
        <f>AC23*IF(Q23="",Q24,Q23)*2</f>
        <v>#VALUE!</v>
      </c>
      <c r="AV23" s="278" t="e">
        <f>AU23/2</f>
        <v>#VALUE!</v>
      </c>
      <c r="AW23" s="282" t="e">
        <f>AV23*IF(T23="",T24,T23)</f>
        <v>#VALUE!</v>
      </c>
      <c r="AX23" s="279" t="e">
        <f>AW23*AT23</f>
        <v>#VALUE!</v>
      </c>
      <c r="AY23" s="280" t="e">
        <f>AX23*R23</f>
        <v>#VALUE!</v>
      </c>
      <c r="AZ23" s="280" t="e">
        <f>AX23*'AC model'!$D$18</f>
        <v>#VALUE!</v>
      </c>
      <c r="BA23" s="280" t="e">
        <f>AR23-AY23+AZ23</f>
        <v>#VALUE!</v>
      </c>
      <c r="BB23" s="278"/>
      <c r="BC23" s="278"/>
      <c r="BD23" s="278"/>
      <c r="BE23" s="278"/>
      <c r="BF23" s="278"/>
      <c r="BG23" s="278"/>
      <c r="BH23" s="278"/>
      <c r="BI23" s="278"/>
      <c r="BJ23" s="278"/>
      <c r="BK23" s="278"/>
      <c r="BL23" s="278"/>
      <c r="BM23" s="278"/>
      <c r="BN23" s="278"/>
      <c r="BO23" s="278"/>
      <c r="BP23" s="278"/>
      <c r="BQ23" s="278"/>
      <c r="BR23" s="278"/>
      <c r="BS23" s="278"/>
      <c r="BT23" s="278"/>
      <c r="BU23" s="278"/>
      <c r="BV23" s="278"/>
      <c r="BW23" s="278"/>
      <c r="BX23" s="278"/>
      <c r="BY23" s="278"/>
      <c r="BZ23" s="278"/>
      <c r="CA23" s="278"/>
      <c r="CB23" s="278"/>
      <c r="CC23" s="278"/>
      <c r="CD23" s="278"/>
      <c r="CE23" s="278"/>
      <c r="CF23" s="278"/>
      <c r="CG23" s="278"/>
      <c r="CH23" s="278"/>
      <c r="CI23" s="278"/>
      <c r="CJ23" s="278"/>
      <c r="CK23" s="278"/>
      <c r="CL23" s="278"/>
      <c r="CM23" s="278"/>
      <c r="CN23" s="278"/>
      <c r="CO23" s="278"/>
      <c r="CP23" s="278"/>
      <c r="CQ23" s="278"/>
      <c r="CR23" s="278"/>
      <c r="CS23" s="278"/>
      <c r="CT23" s="278"/>
      <c r="CU23" s="278"/>
      <c r="CV23" s="278"/>
    </row>
    <row r="24" spans="1:100" s="231" customFormat="1" ht="15.75">
      <c r="A24" s="271"/>
      <c r="B24" s="267"/>
      <c r="C24" s="222"/>
      <c r="D24" s="222"/>
      <c r="E24" s="222"/>
      <c r="F24" s="224">
        <f>IF(F23="Use Local Value","Enter Local Value","")</f>
      </c>
      <c r="G24" s="763"/>
      <c r="H24" s="224">
        <f>IF(H23="Use Local Value","Enter Local Value","")</f>
      </c>
      <c r="I24" s="763"/>
      <c r="J24" s="224">
        <f>IF(J23="Use Local Value","Enter Local Value","")</f>
      </c>
      <c r="K24" s="225"/>
      <c r="L24" s="224">
        <f>IF(L23="Use Local Value","Enter Local Value","")</f>
      </c>
      <c r="M24" s="226"/>
      <c r="N24" s="224">
        <f>IF(N23="Use Local Value","Enter Local Value","")</f>
      </c>
      <c r="O24" s="226"/>
      <c r="P24" s="224">
        <f>IF(P23="Use Local Value","Enter Local Value","")</f>
      </c>
      <c r="Q24" s="226"/>
      <c r="R24" s="222"/>
      <c r="S24" s="224">
        <f>IF(S23="Use Local Value","Enter Local Value","")</f>
      </c>
      <c r="T24" s="304"/>
      <c r="U24" s="222"/>
      <c r="V24" s="222"/>
      <c r="W24" s="245"/>
      <c r="X24" s="245"/>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7"/>
      <c r="BH24" s="247"/>
      <c r="BI24" s="246"/>
      <c r="BJ24" s="246"/>
      <c r="BK24" s="246"/>
      <c r="BL24" s="246"/>
      <c r="BM24" s="246"/>
      <c r="BN24" s="246"/>
      <c r="BO24" s="246"/>
      <c r="BP24" s="246"/>
      <c r="BQ24" s="246"/>
      <c r="BR24" s="246"/>
      <c r="BS24" s="246"/>
      <c r="BT24" s="246"/>
      <c r="BU24" s="246"/>
      <c r="BV24" s="246"/>
      <c r="BW24" s="246"/>
      <c r="BX24" s="246"/>
      <c r="BY24" s="246"/>
      <c r="BZ24" s="246"/>
      <c r="CA24" s="246"/>
      <c r="CB24" s="246"/>
      <c r="CC24" s="246"/>
      <c r="CD24" s="246"/>
      <c r="CE24" s="246"/>
      <c r="CF24" s="246"/>
      <c r="CG24" s="246"/>
      <c r="CH24" s="246"/>
      <c r="CI24" s="246"/>
      <c r="CJ24" s="246"/>
      <c r="CK24" s="246"/>
      <c r="CL24" s="246"/>
      <c r="CM24" s="246"/>
      <c r="CN24" s="246"/>
      <c r="CO24" s="246"/>
      <c r="CP24" s="246"/>
      <c r="CQ24" s="246"/>
      <c r="CR24" s="246"/>
      <c r="CS24" s="246"/>
      <c r="CT24" s="246"/>
      <c r="CU24" s="246"/>
      <c r="CV24" s="246"/>
    </row>
    <row r="25" spans="1:100" s="248" customFormat="1" ht="17.25" customHeight="1" thickBot="1">
      <c r="A25" s="272"/>
      <c r="B25" s="268"/>
      <c r="C25" s="249"/>
      <c r="D25" s="249"/>
      <c r="E25" s="249"/>
      <c r="F25" s="249"/>
      <c r="G25" s="249"/>
      <c r="H25" s="249"/>
      <c r="I25" s="249"/>
      <c r="J25" s="250"/>
      <c r="K25" s="251"/>
      <c r="L25" s="250"/>
      <c r="M25" s="252"/>
      <c r="N25" s="250"/>
      <c r="O25" s="252"/>
      <c r="P25" s="250"/>
      <c r="Q25" s="252"/>
      <c r="R25" s="249"/>
      <c r="S25" s="250"/>
      <c r="T25" s="305"/>
      <c r="U25" s="249"/>
      <c r="V25" s="249"/>
      <c r="W25" s="249"/>
      <c r="X25" s="276"/>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3"/>
      <c r="BE25" s="283"/>
      <c r="BF25" s="283"/>
      <c r="BG25" s="284"/>
      <c r="BH25" s="284"/>
      <c r="BI25" s="283"/>
      <c r="BJ25" s="283"/>
      <c r="BK25" s="283"/>
      <c r="BL25" s="283"/>
      <c r="BM25" s="283"/>
      <c r="BN25" s="283"/>
      <c r="BO25" s="283"/>
      <c r="BP25" s="283"/>
      <c r="BQ25" s="283"/>
      <c r="BR25" s="283"/>
      <c r="BS25" s="283"/>
      <c r="BT25" s="283"/>
      <c r="BU25" s="283"/>
      <c r="BV25" s="283"/>
      <c r="BW25" s="283"/>
      <c r="BX25" s="283"/>
      <c r="BY25" s="283"/>
      <c r="BZ25" s="283"/>
      <c r="CA25" s="283"/>
      <c r="CB25" s="283"/>
      <c r="CC25" s="283"/>
      <c r="CD25" s="283"/>
      <c r="CE25" s="283"/>
      <c r="CF25" s="283"/>
      <c r="CG25" s="283"/>
      <c r="CH25" s="283"/>
      <c r="CI25" s="283"/>
      <c r="CJ25" s="283"/>
      <c r="CK25" s="283"/>
      <c r="CL25" s="283"/>
      <c r="CM25" s="283"/>
      <c r="CN25" s="283"/>
      <c r="CO25" s="283"/>
      <c r="CP25" s="283"/>
      <c r="CQ25" s="283"/>
      <c r="CR25" s="283"/>
      <c r="CS25" s="283"/>
      <c r="CT25" s="283"/>
      <c r="CU25" s="283"/>
      <c r="CV25" s="283"/>
    </row>
    <row r="26" spans="1:100" s="253" customFormat="1" ht="15.75">
      <c r="A26" s="270" t="s">
        <v>30</v>
      </c>
      <c r="B26" s="266" t="s">
        <v>380</v>
      </c>
      <c r="C26" s="802">
        <f>IF(A26="No","",1-'RF model'!$C$14)</f>
      </c>
      <c r="D26" s="254"/>
      <c r="E26" s="255">
        <f>IF(A26="No","",0.6)</f>
      </c>
      <c r="F26" s="762" t="s">
        <v>17</v>
      </c>
      <c r="G26" s="256">
        <f>IF(A26="No","",IF(F26="Use Default",13.3*(VLOOKUP('Start Page'!$G$4,'RF Workings'!$E$3:$G$13,2)/'RF Workings'!$F$7),""))</f>
      </c>
      <c r="H26" s="762" t="s">
        <v>17</v>
      </c>
      <c r="I26" s="256">
        <f>IF(A26="No","",IF(H26="Use Default",0.7*(VLOOKUP('Start Page'!$G$4,'RF Workings'!$E$3:$G$13,2)/'RF Workings'!$F$7),""))</f>
      </c>
      <c r="J26" s="257" t="s">
        <v>17</v>
      </c>
      <c r="K26" s="801">
        <f>IF(A26="No","",IF(J26="Use Default",IF($F$1="Non-PTE",$AB$3,$AA$3),""))</f>
      </c>
      <c r="L26" s="258" t="s">
        <v>17</v>
      </c>
      <c r="M26" s="259">
        <f>IF(A26="No","",IF(L26="Use Default",IF($F$1="Non-PTE",$AB$4,$AA$4),""))</f>
      </c>
      <c r="N26" s="258" t="s">
        <v>17</v>
      </c>
      <c r="O26" s="800">
        <f>IF(A26="No","",IF(N26="Use Default",IF($F$1="Non-PTE",$AB$5,$AA$5),""))</f>
      </c>
      <c r="P26" s="258" t="s">
        <v>17</v>
      </c>
      <c r="Q26" s="801">
        <f>IF(A26="No","",(IF(P26="Use Default",IF($F$1="Non-PTE",$AB$6,$AA$6),"")))</f>
      </c>
      <c r="R26" s="260"/>
      <c r="S26" s="258" t="s">
        <v>17</v>
      </c>
      <c r="T26" s="303">
        <f>IF(A26="No","",IF(S26="Use Default",IF('MCC Model '!$F$1="Non-PTE",$AB$7,$AA$7),""))</f>
      </c>
      <c r="U26" s="255">
        <f>IF(A26="No","",0.66)</f>
      </c>
      <c r="V26" s="433">
        <f>IF(A26="Yes",(IF(BA26&lt;0,0,BA26)),"")</f>
      </c>
      <c r="W26" s="434">
        <f>IF(A26="Yes",V26*C26*D26,"")</f>
      </c>
      <c r="X26" s="275"/>
      <c r="Y26" s="278"/>
      <c r="Z26" s="278"/>
      <c r="AA26" s="278">
        <f>IF(F16="Non-PTE",AB23,AA23)</f>
        <v>6</v>
      </c>
      <c r="AB26" s="279" t="e">
        <f>IF(AND(N26="Use Default",P26="Use Default"),Q26/O26,IF(AND(N26="Use Local Value",P26="Use Default"),Q26/O27,IF(AND(N26="Use Default",P26="Use Local Value"),Q27/O26,IF(AND(N26="Use Local Value",P26="Use Local Value"),Q27/O27))))*IF($M26="",$M27,$M26)/IF($Q26="",Q27,$Q26)</f>
        <v>#VALUE!</v>
      </c>
      <c r="AC26" s="279" t="e">
        <f>AA26*AB26</f>
        <v>#VALUE!</v>
      </c>
      <c r="AD26" s="279" t="e">
        <f>1/IF(Q26="",Q27,Q26)</f>
        <v>#DIV/0!</v>
      </c>
      <c r="AE26" s="279" t="e">
        <f>AA26*((AC26+AD26)/AC26)^E26</f>
        <v>#VALUE!</v>
      </c>
      <c r="AF26" s="279" t="e">
        <f>AA26/((IF(K26="",K27,K26)/(IF(Q26="",Q27,Q26)*2)))</f>
        <v>#DIV/0!</v>
      </c>
      <c r="AG26" s="279" t="e">
        <f>AF26/2</f>
        <v>#DIV/0!</v>
      </c>
      <c r="AH26" s="279" t="e">
        <f>AE26/((IF(K26="",K27,K26)/(IF(Q26="",Q27,Q26)*2)))</f>
        <v>#VALUE!</v>
      </c>
      <c r="AI26" s="279" t="e">
        <f>AH26/2</f>
        <v>#VALUE!</v>
      </c>
      <c r="AJ26" s="279" t="e">
        <f>AI26-AG26</f>
        <v>#VALUE!</v>
      </c>
      <c r="AK26" s="280" t="e">
        <f>AJ26*IF(F26="Use Default",G26,G27)</f>
        <v>#VALUE!</v>
      </c>
      <c r="AL26" s="279" t="e">
        <f>AA26*IF(K26="",K27,K26)/((IF(K26="",K27,K26)/(IF(Q26="",Q27,Q26)*2)))</f>
        <v>#DIV/0!</v>
      </c>
      <c r="AM26" s="278" t="e">
        <f>AL26/2</f>
        <v>#DIV/0!</v>
      </c>
      <c r="AN26" s="279" t="e">
        <f>AE26*IF(K26="",K27,K26)/((IF(K26="",K27,K26)/(IF(Q26="",Q27,Q26)*2)))</f>
        <v>#VALUE!</v>
      </c>
      <c r="AO26" s="278" t="e">
        <f>AN26/2</f>
        <v>#VALUE!</v>
      </c>
      <c r="AP26" s="278" t="e">
        <f>AO26-AM26</f>
        <v>#VALUE!</v>
      </c>
      <c r="AQ26" s="280" t="e">
        <f>AP26*IF(H26="Use Default",I26,I27)</f>
        <v>#VALUE!</v>
      </c>
      <c r="AR26" s="280" t="e">
        <f>AQ26+AK26</f>
        <v>#VALUE!</v>
      </c>
      <c r="AS26" s="281" t="e">
        <f>(AE26-AA26)/AA26</f>
        <v>#VALUE!</v>
      </c>
      <c r="AT26" s="281" t="e">
        <f>AS26*U26</f>
        <v>#VALUE!</v>
      </c>
      <c r="AU26" s="282" t="e">
        <f>AC26*IF(Q26="",Q27,Q26)*2</f>
        <v>#VALUE!</v>
      </c>
      <c r="AV26" s="278" t="e">
        <f>AU26/2</f>
        <v>#VALUE!</v>
      </c>
      <c r="AW26" s="282" t="e">
        <f>AV26*IF(T26="",T27,T26)</f>
        <v>#VALUE!</v>
      </c>
      <c r="AX26" s="279" t="e">
        <f>AW26*AT26</f>
        <v>#VALUE!</v>
      </c>
      <c r="AY26" s="280" t="e">
        <f>AX26*R26</f>
        <v>#VALUE!</v>
      </c>
      <c r="AZ26" s="280" t="e">
        <f>AX26*'AC model'!$D$18</f>
        <v>#VALUE!</v>
      </c>
      <c r="BA26" s="280" t="e">
        <f>AR26-AY26+AZ26</f>
        <v>#VALUE!</v>
      </c>
      <c r="BB26" s="278"/>
      <c r="BC26" s="278"/>
      <c r="BD26" s="278"/>
      <c r="BE26" s="278"/>
      <c r="BF26" s="278"/>
      <c r="BG26" s="278"/>
      <c r="BH26" s="278"/>
      <c r="BI26" s="278"/>
      <c r="BJ26" s="278"/>
      <c r="BK26" s="278"/>
      <c r="BL26" s="278"/>
      <c r="BM26" s="278"/>
      <c r="BN26" s="278"/>
      <c r="BO26" s="278"/>
      <c r="BP26" s="278"/>
      <c r="BQ26" s="278"/>
      <c r="BR26" s="278"/>
      <c r="BS26" s="278"/>
      <c r="BT26" s="278"/>
      <c r="BU26" s="278"/>
      <c r="BV26" s="278"/>
      <c r="BW26" s="278"/>
      <c r="BX26" s="278"/>
      <c r="BY26" s="278"/>
      <c r="BZ26" s="278"/>
      <c r="CA26" s="278"/>
      <c r="CB26" s="278"/>
      <c r="CC26" s="278"/>
      <c r="CD26" s="278"/>
      <c r="CE26" s="278"/>
      <c r="CF26" s="278"/>
      <c r="CG26" s="278"/>
      <c r="CH26" s="278"/>
      <c r="CI26" s="278"/>
      <c r="CJ26" s="278"/>
      <c r="CK26" s="278"/>
      <c r="CL26" s="278"/>
      <c r="CM26" s="278"/>
      <c r="CN26" s="278"/>
      <c r="CO26" s="278"/>
      <c r="CP26" s="278"/>
      <c r="CQ26" s="278"/>
      <c r="CR26" s="278"/>
      <c r="CS26" s="278"/>
      <c r="CT26" s="278"/>
      <c r="CU26" s="278"/>
      <c r="CV26" s="278"/>
    </row>
    <row r="27" spans="1:100" s="231" customFormat="1" ht="15.75">
      <c r="A27" s="271"/>
      <c r="B27" s="267"/>
      <c r="C27" s="222"/>
      <c r="D27" s="222"/>
      <c r="E27" s="222"/>
      <c r="F27" s="224">
        <f>IF(F26="Use Local Value","Enter Local Value","")</f>
      </c>
      <c r="G27" s="763"/>
      <c r="H27" s="224">
        <f>IF(H26="Use Local Value","Enter Local Value","")</f>
      </c>
      <c r="I27" s="763"/>
      <c r="J27" s="224">
        <f>IF(J26="Use Local Value","Enter Local Value","")</f>
      </c>
      <c r="K27" s="225"/>
      <c r="L27" s="224">
        <f>IF(L26="Use Local Value","Enter Local Value","")</f>
      </c>
      <c r="M27" s="226"/>
      <c r="N27" s="224">
        <f>IF(N26="Use Local Value","Enter Local Value","")</f>
      </c>
      <c r="O27" s="226"/>
      <c r="P27" s="224">
        <f>IF(P26="Use Local Value","Enter Local Value","")</f>
      </c>
      <c r="Q27" s="226"/>
      <c r="R27" s="222"/>
      <c r="S27" s="224">
        <f>IF(S26="Use Local Value","Enter Local Value","")</f>
      </c>
      <c r="T27" s="304"/>
      <c r="U27" s="222"/>
      <c r="V27" s="222"/>
      <c r="W27" s="245"/>
      <c r="X27" s="245"/>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c r="BG27" s="247"/>
      <c r="BH27" s="247"/>
      <c r="BI27" s="246"/>
      <c r="BJ27" s="246"/>
      <c r="BK27" s="246"/>
      <c r="BL27" s="246"/>
      <c r="BM27" s="246"/>
      <c r="BN27" s="246"/>
      <c r="BO27" s="246"/>
      <c r="BP27" s="246"/>
      <c r="BQ27" s="246"/>
      <c r="BR27" s="246"/>
      <c r="BS27" s="246"/>
      <c r="BT27" s="246"/>
      <c r="BU27" s="246"/>
      <c r="BV27" s="246"/>
      <c r="BW27" s="246"/>
      <c r="BX27" s="246"/>
      <c r="BY27" s="246"/>
      <c r="BZ27" s="246"/>
      <c r="CA27" s="246"/>
      <c r="CB27" s="246"/>
      <c r="CC27" s="246"/>
      <c r="CD27" s="246"/>
      <c r="CE27" s="246"/>
      <c r="CF27" s="246"/>
      <c r="CG27" s="246"/>
      <c r="CH27" s="246"/>
      <c r="CI27" s="246"/>
      <c r="CJ27" s="246"/>
      <c r="CK27" s="246"/>
      <c r="CL27" s="246"/>
      <c r="CM27" s="246"/>
      <c r="CN27" s="246"/>
      <c r="CO27" s="246"/>
      <c r="CP27" s="246"/>
      <c r="CQ27" s="246"/>
      <c r="CR27" s="246"/>
      <c r="CS27" s="246"/>
      <c r="CT27" s="246"/>
      <c r="CU27" s="246"/>
      <c r="CV27" s="246"/>
    </row>
    <row r="28" spans="1:100" s="248" customFormat="1" ht="17.25" customHeight="1" thickBot="1">
      <c r="A28" s="272"/>
      <c r="B28" s="268"/>
      <c r="C28" s="249"/>
      <c r="D28" s="249"/>
      <c r="E28" s="249"/>
      <c r="F28" s="249"/>
      <c r="G28" s="249"/>
      <c r="H28" s="249"/>
      <c r="I28" s="249"/>
      <c r="J28" s="250"/>
      <c r="K28" s="251"/>
      <c r="L28" s="250"/>
      <c r="M28" s="252"/>
      <c r="N28" s="250"/>
      <c r="O28" s="252"/>
      <c r="P28" s="250"/>
      <c r="Q28" s="252"/>
      <c r="R28" s="249"/>
      <c r="S28" s="250"/>
      <c r="T28" s="305"/>
      <c r="U28" s="249"/>
      <c r="V28" s="249"/>
      <c r="W28" s="249"/>
      <c r="X28" s="276"/>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c r="BF28" s="283"/>
      <c r="BG28" s="284"/>
      <c r="BH28" s="284"/>
      <c r="BI28" s="283"/>
      <c r="BJ28" s="283"/>
      <c r="BK28" s="283"/>
      <c r="BL28" s="283"/>
      <c r="BM28" s="283"/>
      <c r="BN28" s="283"/>
      <c r="BO28" s="283"/>
      <c r="BP28" s="283"/>
      <c r="BQ28" s="283"/>
      <c r="BR28" s="283"/>
      <c r="BS28" s="283"/>
      <c r="BT28" s="283"/>
      <c r="BU28" s="283"/>
      <c r="BV28" s="283"/>
      <c r="BW28" s="283"/>
      <c r="BX28" s="283"/>
      <c r="BY28" s="283"/>
      <c r="BZ28" s="283"/>
      <c r="CA28" s="283"/>
      <c r="CB28" s="283"/>
      <c r="CC28" s="283"/>
      <c r="CD28" s="283"/>
      <c r="CE28" s="283"/>
      <c r="CF28" s="283"/>
      <c r="CG28" s="283"/>
      <c r="CH28" s="283"/>
      <c r="CI28" s="283"/>
      <c r="CJ28" s="283"/>
      <c r="CK28" s="283"/>
      <c r="CL28" s="283"/>
      <c r="CM28" s="283"/>
      <c r="CN28" s="283"/>
      <c r="CO28" s="283"/>
      <c r="CP28" s="283"/>
      <c r="CQ28" s="283"/>
      <c r="CR28" s="283"/>
      <c r="CS28" s="283"/>
      <c r="CT28" s="283"/>
      <c r="CU28" s="283"/>
      <c r="CV28" s="283"/>
    </row>
    <row r="29" spans="1:100" s="253" customFormat="1" ht="15.75">
      <c r="A29" s="270" t="s">
        <v>30</v>
      </c>
      <c r="B29" s="266" t="s">
        <v>380</v>
      </c>
      <c r="C29" s="802">
        <f>IF(A29="No","",1-'RF model'!$C$14)</f>
      </c>
      <c r="D29" s="254"/>
      <c r="E29" s="255">
        <f>IF(A29="No","",0.6)</f>
      </c>
      <c r="F29" s="762" t="s">
        <v>17</v>
      </c>
      <c r="G29" s="256">
        <f>IF(A29="No","",IF(F29="Use Default",13.3*(VLOOKUP('Start Page'!$G$4,'RF Workings'!$E$3:$G$13,2)/'RF Workings'!$F$7),""))</f>
      </c>
      <c r="H29" s="762" t="s">
        <v>17</v>
      </c>
      <c r="I29" s="256">
        <f>IF(A29="No","",IF(H29="Use Default",0.7*(VLOOKUP('Start Page'!$G$4,'RF Workings'!$E$3:$G$13,2)/'RF Workings'!$F$7),""))</f>
      </c>
      <c r="J29" s="257" t="s">
        <v>17</v>
      </c>
      <c r="K29" s="801">
        <f>IF(A29="No","",IF(J29="Use Default",IF($F$1="Non-PTE",$AB$3,$AA$3),""))</f>
      </c>
      <c r="L29" s="258" t="s">
        <v>17</v>
      </c>
      <c r="M29" s="259">
        <f>IF(A29="No","",IF(L29="Use Default",IF($F$1="Non-PTE",$AB$4,$AA$4),""))</f>
      </c>
      <c r="N29" s="258" t="s">
        <v>17</v>
      </c>
      <c r="O29" s="800">
        <f>IF(A29="No","",IF(N29="Use Default",IF($F$1="Non-PTE",$AB$5,$AA$5),""))</f>
      </c>
      <c r="P29" s="258" t="s">
        <v>17</v>
      </c>
      <c r="Q29" s="801">
        <f>IF(A29="No","",(IF(P29="Use Default",IF($F$1="Non-PTE",$AB$6,$AA$6),"")))</f>
      </c>
      <c r="R29" s="260"/>
      <c r="S29" s="258" t="s">
        <v>17</v>
      </c>
      <c r="T29" s="303">
        <f>IF(A29="No","",IF(S29="Use Default",IF('MCC Model '!$F$1="Non-PTE",$AB$7,$AA$7),""))</f>
      </c>
      <c r="U29" s="255">
        <f>IF(A29="No","",0.66)</f>
      </c>
      <c r="V29" s="433">
        <f>IF(A29="Yes",(IF(BA29&lt;0,0,BA29)),"")</f>
      </c>
      <c r="W29" s="434">
        <f>IF(A29="Yes",V29*C29*D29,"")</f>
      </c>
      <c r="X29" s="275"/>
      <c r="Y29" s="278"/>
      <c r="Z29" s="278"/>
      <c r="AA29" s="278">
        <f>IF(F19="Non-PTE",AB26,AA26)</f>
        <v>6</v>
      </c>
      <c r="AB29" s="279" t="e">
        <f>IF(AND(N29="Use Default",P29="Use Default"),Q29/O29,IF(AND(N29="Use Local Value",P29="Use Default"),Q29/O30,IF(AND(N29="Use Default",P29="Use Local Value"),Q30/O29,IF(AND(N29="Use Local Value",P29="Use Local Value"),Q30/O30))))*IF($M29="",$M30,$M29)/IF($Q29="",Q30,$Q29)</f>
        <v>#VALUE!</v>
      </c>
      <c r="AC29" s="279" t="e">
        <f>AA29*AB29</f>
        <v>#VALUE!</v>
      </c>
      <c r="AD29" s="279" t="e">
        <f>1/IF(Q29="",Q30,Q29)</f>
        <v>#DIV/0!</v>
      </c>
      <c r="AE29" s="279" t="e">
        <f>AA29*((AC29+AD29)/AC29)^E29</f>
        <v>#VALUE!</v>
      </c>
      <c r="AF29" s="279" t="e">
        <f>AA29/((IF(K29="",K30,K29)/(IF(Q29="",Q30,Q29)*2)))</f>
        <v>#DIV/0!</v>
      </c>
      <c r="AG29" s="279" t="e">
        <f>AF29/2</f>
        <v>#DIV/0!</v>
      </c>
      <c r="AH29" s="279" t="e">
        <f>AE29/((IF(K29="",K30,K29)/(IF(Q29="",Q30,Q29)*2)))</f>
        <v>#VALUE!</v>
      </c>
      <c r="AI29" s="279" t="e">
        <f>AH29/2</f>
        <v>#VALUE!</v>
      </c>
      <c r="AJ29" s="279" t="e">
        <f>AI29-AG29</f>
        <v>#VALUE!</v>
      </c>
      <c r="AK29" s="280" t="e">
        <f>AJ29*IF(F29="Use Default",G29,G30)</f>
        <v>#VALUE!</v>
      </c>
      <c r="AL29" s="279" t="e">
        <f>AA29*IF(K29="",K30,K29)/((IF(K29="",K30,K29)/(IF(Q29="",Q30,Q29)*2)))</f>
        <v>#DIV/0!</v>
      </c>
      <c r="AM29" s="278" t="e">
        <f>AL29/2</f>
        <v>#DIV/0!</v>
      </c>
      <c r="AN29" s="279" t="e">
        <f>AE29*IF(K29="",K30,K29)/((IF(K29="",K30,K29)/(IF(Q29="",Q30,Q29)*2)))</f>
        <v>#VALUE!</v>
      </c>
      <c r="AO29" s="278" t="e">
        <f>AN29/2</f>
        <v>#VALUE!</v>
      </c>
      <c r="AP29" s="278" t="e">
        <f>AO29-AM29</f>
        <v>#VALUE!</v>
      </c>
      <c r="AQ29" s="280" t="e">
        <f>AP29*IF(H29="Use Default",I29,I30)</f>
        <v>#VALUE!</v>
      </c>
      <c r="AR29" s="280" t="e">
        <f>AQ29+AK29</f>
        <v>#VALUE!</v>
      </c>
      <c r="AS29" s="281" t="e">
        <f>(AE29-AA29)/AA29</f>
        <v>#VALUE!</v>
      </c>
      <c r="AT29" s="281" t="e">
        <f>AS29*U29</f>
        <v>#VALUE!</v>
      </c>
      <c r="AU29" s="282" t="e">
        <f>AC29*IF(Q29="",Q30,Q29)*2</f>
        <v>#VALUE!</v>
      </c>
      <c r="AV29" s="278" t="e">
        <f>AU29/2</f>
        <v>#VALUE!</v>
      </c>
      <c r="AW29" s="282" t="e">
        <f>AV29*IF(T29="",T30,T29)</f>
        <v>#VALUE!</v>
      </c>
      <c r="AX29" s="279" t="e">
        <f>AW29*AT29</f>
        <v>#VALUE!</v>
      </c>
      <c r="AY29" s="280" t="e">
        <f>AX29*R29</f>
        <v>#VALUE!</v>
      </c>
      <c r="AZ29" s="280" t="e">
        <f>AX29*'AC model'!$D$18</f>
        <v>#VALUE!</v>
      </c>
      <c r="BA29" s="280" t="e">
        <f>AR29-AY29+AZ29</f>
        <v>#VALUE!</v>
      </c>
      <c r="BB29" s="278"/>
      <c r="BC29" s="278"/>
      <c r="BD29" s="278"/>
      <c r="BE29" s="278"/>
      <c r="BF29" s="278"/>
      <c r="BG29" s="278"/>
      <c r="BH29" s="278"/>
      <c r="BI29" s="278"/>
      <c r="BJ29" s="278"/>
      <c r="BK29" s="278"/>
      <c r="BL29" s="278"/>
      <c r="BM29" s="278"/>
      <c r="BN29" s="278"/>
      <c r="BO29" s="278"/>
      <c r="BP29" s="278"/>
      <c r="BQ29" s="278"/>
      <c r="BR29" s="278"/>
      <c r="BS29" s="278"/>
      <c r="BT29" s="278"/>
      <c r="BU29" s="278"/>
      <c r="BV29" s="278"/>
      <c r="BW29" s="278"/>
      <c r="BX29" s="278"/>
      <c r="BY29" s="278"/>
      <c r="BZ29" s="278"/>
      <c r="CA29" s="278"/>
      <c r="CB29" s="278"/>
      <c r="CC29" s="278"/>
      <c r="CD29" s="278"/>
      <c r="CE29" s="278"/>
      <c r="CF29" s="278"/>
      <c r="CG29" s="278"/>
      <c r="CH29" s="278"/>
      <c r="CI29" s="278"/>
      <c r="CJ29" s="278"/>
      <c r="CK29" s="278"/>
      <c r="CL29" s="278"/>
      <c r="CM29" s="278"/>
      <c r="CN29" s="278"/>
      <c r="CO29" s="278"/>
      <c r="CP29" s="278"/>
      <c r="CQ29" s="278"/>
      <c r="CR29" s="278"/>
      <c r="CS29" s="278"/>
      <c r="CT29" s="278"/>
      <c r="CU29" s="278"/>
      <c r="CV29" s="278"/>
    </row>
    <row r="30" spans="1:100" s="231" customFormat="1" ht="15.75">
      <c r="A30" s="271"/>
      <c r="B30" s="267"/>
      <c r="C30" s="222"/>
      <c r="D30" s="222"/>
      <c r="E30" s="222"/>
      <c r="F30" s="224">
        <f>IF(F29="Use Local Value","Enter Local Value","")</f>
      </c>
      <c r="G30" s="763"/>
      <c r="H30" s="224">
        <f>IF(H29="Use Local Value","Enter Local Value","")</f>
      </c>
      <c r="I30" s="763"/>
      <c r="J30" s="224">
        <f>IF(J29="Use Local Value","Enter Local Value","")</f>
      </c>
      <c r="K30" s="225"/>
      <c r="L30" s="224">
        <f>IF(L29="Use Local Value","Enter Local Value","")</f>
      </c>
      <c r="M30" s="226"/>
      <c r="N30" s="224">
        <f>IF(N29="Use Local Value","Enter Local Value","")</f>
      </c>
      <c r="O30" s="226"/>
      <c r="P30" s="224">
        <f>IF(P29="Use Local Value","Enter Local Value","")</f>
      </c>
      <c r="Q30" s="226"/>
      <c r="R30" s="222"/>
      <c r="S30" s="224">
        <f>IF(S29="Use Local Value","Enter Local Value","")</f>
      </c>
      <c r="T30" s="304"/>
      <c r="U30" s="222"/>
      <c r="V30" s="222"/>
      <c r="W30" s="245"/>
      <c r="X30" s="245"/>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7"/>
      <c r="BH30" s="247"/>
      <c r="BI30" s="246"/>
      <c r="BJ30" s="246"/>
      <c r="BK30" s="246"/>
      <c r="BL30" s="246"/>
      <c r="BM30" s="246"/>
      <c r="BN30" s="246"/>
      <c r="BO30" s="246"/>
      <c r="BP30" s="246"/>
      <c r="BQ30" s="246"/>
      <c r="BR30" s="246"/>
      <c r="BS30" s="246"/>
      <c r="BT30" s="246"/>
      <c r="BU30" s="246"/>
      <c r="BV30" s="246"/>
      <c r="BW30" s="246"/>
      <c r="BX30" s="246"/>
      <c r="BY30" s="246"/>
      <c r="BZ30" s="246"/>
      <c r="CA30" s="246"/>
      <c r="CB30" s="246"/>
      <c r="CC30" s="246"/>
      <c r="CD30" s="246"/>
      <c r="CE30" s="246"/>
      <c r="CF30" s="246"/>
      <c r="CG30" s="246"/>
      <c r="CH30" s="246"/>
      <c r="CI30" s="246"/>
      <c r="CJ30" s="246"/>
      <c r="CK30" s="246"/>
      <c r="CL30" s="246"/>
      <c r="CM30" s="246"/>
      <c r="CN30" s="246"/>
      <c r="CO30" s="246"/>
      <c r="CP30" s="246"/>
      <c r="CQ30" s="246"/>
      <c r="CR30" s="246"/>
      <c r="CS30" s="246"/>
      <c r="CT30" s="246"/>
      <c r="CU30" s="246"/>
      <c r="CV30" s="246"/>
    </row>
    <row r="31" spans="1:100" s="248" customFormat="1" ht="17.25" customHeight="1" thickBot="1">
      <c r="A31" s="272"/>
      <c r="B31" s="268"/>
      <c r="C31" s="249"/>
      <c r="D31" s="249"/>
      <c r="E31" s="249"/>
      <c r="F31" s="249"/>
      <c r="G31" s="249"/>
      <c r="H31" s="249"/>
      <c r="I31" s="249"/>
      <c r="J31" s="250"/>
      <c r="K31" s="251"/>
      <c r="L31" s="250"/>
      <c r="M31" s="252"/>
      <c r="N31" s="250"/>
      <c r="O31" s="252"/>
      <c r="P31" s="250"/>
      <c r="Q31" s="252"/>
      <c r="R31" s="249"/>
      <c r="S31" s="250"/>
      <c r="T31" s="305"/>
      <c r="U31" s="249"/>
      <c r="V31" s="249"/>
      <c r="W31" s="249"/>
      <c r="X31" s="276"/>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4"/>
      <c r="BH31" s="284"/>
      <c r="BI31" s="283"/>
      <c r="BJ31" s="283"/>
      <c r="BK31" s="283"/>
      <c r="BL31" s="283"/>
      <c r="BM31" s="283"/>
      <c r="BN31" s="283"/>
      <c r="BO31" s="283"/>
      <c r="BP31" s="283"/>
      <c r="BQ31" s="283"/>
      <c r="BR31" s="283"/>
      <c r="BS31" s="283"/>
      <c r="BT31" s="283"/>
      <c r="BU31" s="283"/>
      <c r="BV31" s="283"/>
      <c r="BW31" s="283"/>
      <c r="BX31" s="283"/>
      <c r="BY31" s="283"/>
      <c r="BZ31" s="283"/>
      <c r="CA31" s="283"/>
      <c r="CB31" s="283"/>
      <c r="CC31" s="283"/>
      <c r="CD31" s="283"/>
      <c r="CE31" s="283"/>
      <c r="CF31" s="283"/>
      <c r="CG31" s="283"/>
      <c r="CH31" s="283"/>
      <c r="CI31" s="283"/>
      <c r="CJ31" s="283"/>
      <c r="CK31" s="283"/>
      <c r="CL31" s="283"/>
      <c r="CM31" s="283"/>
      <c r="CN31" s="283"/>
      <c r="CO31" s="283"/>
      <c r="CP31" s="283"/>
      <c r="CQ31" s="283"/>
      <c r="CR31" s="283"/>
      <c r="CS31" s="283"/>
      <c r="CT31" s="283"/>
      <c r="CU31" s="283"/>
      <c r="CV31" s="283"/>
    </row>
    <row r="32" spans="1:100" s="253" customFormat="1" ht="15.75">
      <c r="A32" s="270" t="s">
        <v>30</v>
      </c>
      <c r="B32" s="266" t="s">
        <v>380</v>
      </c>
      <c r="C32" s="802">
        <f>IF(A32="No","",1-'RF model'!$C$14)</f>
      </c>
      <c r="D32" s="254"/>
      <c r="E32" s="255">
        <f>IF(A32="No","",0.6)</f>
      </c>
      <c r="F32" s="762" t="s">
        <v>17</v>
      </c>
      <c r="G32" s="256">
        <f>IF(A32="No","",IF(F32="Use Default",13.3*(VLOOKUP('Start Page'!$G$4,'RF Workings'!$E$3:$G$13,2)/'RF Workings'!$F$7),""))</f>
      </c>
      <c r="H32" s="762" t="s">
        <v>17</v>
      </c>
      <c r="I32" s="256">
        <f>IF(A32="No","",IF(H32="Use Default",0.7*(VLOOKUP('Start Page'!$G$4,'RF Workings'!$E$3:$G$13,2)/'RF Workings'!$F$7),""))</f>
      </c>
      <c r="J32" s="257" t="s">
        <v>17</v>
      </c>
      <c r="K32" s="801">
        <f>IF(A32="No","",IF(J32="Use Default",IF($F$1="Non-PTE",$AB$3,$AA$3),""))</f>
      </c>
      <c r="L32" s="258" t="s">
        <v>17</v>
      </c>
      <c r="M32" s="259">
        <f>IF(A32="No","",IF(L32="Use Default",IF($F$1="Non-PTE",$AB$4,$AA$4),""))</f>
      </c>
      <c r="N32" s="258" t="s">
        <v>17</v>
      </c>
      <c r="O32" s="800">
        <f>IF(A32="No","",IF(N32="Use Default",IF($F$1="Non-PTE",$AB$5,$AA$5),""))</f>
      </c>
      <c r="P32" s="258" t="s">
        <v>17</v>
      </c>
      <c r="Q32" s="801">
        <f>IF(A32="No","",(IF(P32="Use Default",IF($F$1="Non-PTE",$AB$6,$AA$6),"")))</f>
      </c>
      <c r="R32" s="260"/>
      <c r="S32" s="258" t="s">
        <v>17</v>
      </c>
      <c r="T32" s="303">
        <f>IF(A32="No","",IF(S32="Use Default",IF('MCC Model '!$F$1="Non-PTE",$AB$7,$AA$7),""))</f>
      </c>
      <c r="U32" s="255">
        <f>IF(A32="No","",0.66)</f>
      </c>
      <c r="V32" s="433">
        <f>IF(A32="Yes",(IF(BA32&lt;0,0,BA32)),"")</f>
      </c>
      <c r="W32" s="434">
        <f>IF(A32="Yes",V32*C32*D32,"")</f>
      </c>
      <c r="X32" s="275"/>
      <c r="Y32" s="278"/>
      <c r="Z32" s="278"/>
      <c r="AA32" s="278">
        <f>IF(F22="Non-PTE",AB29,AA29)</f>
        <v>6</v>
      </c>
      <c r="AB32" s="279" t="e">
        <f>IF(AND(N32="Use Default",P32="Use Default"),Q32/O32,IF(AND(N32="Use Local Value",P32="Use Default"),Q32/O33,IF(AND(N32="Use Default",P32="Use Local Value"),Q33/O32,IF(AND(N32="Use Local Value",P32="Use Local Value"),Q33/O33))))*IF($M32="",$M33,$M32)/IF($Q32="",Q33,$Q32)</f>
        <v>#VALUE!</v>
      </c>
      <c r="AC32" s="279" t="e">
        <f>AA32*AB32</f>
        <v>#VALUE!</v>
      </c>
      <c r="AD32" s="279" t="e">
        <f>1/IF(Q32="",Q33,Q32)</f>
        <v>#DIV/0!</v>
      </c>
      <c r="AE32" s="279" t="e">
        <f>AA32*((AC32+AD32)/AC32)^E32</f>
        <v>#VALUE!</v>
      </c>
      <c r="AF32" s="279" t="e">
        <f>AA32/((IF(K32="",K33,K32)/(IF(Q32="",Q33,Q32)*2)))</f>
        <v>#DIV/0!</v>
      </c>
      <c r="AG32" s="279" t="e">
        <f>AF32/2</f>
        <v>#DIV/0!</v>
      </c>
      <c r="AH32" s="279" t="e">
        <f>AE32/((IF(K32="",K33,K32)/(IF(Q32="",Q33,Q32)*2)))</f>
        <v>#VALUE!</v>
      </c>
      <c r="AI32" s="279" t="e">
        <f>AH32/2</f>
        <v>#VALUE!</v>
      </c>
      <c r="AJ32" s="279" t="e">
        <f>AI32-AG32</f>
        <v>#VALUE!</v>
      </c>
      <c r="AK32" s="280" t="e">
        <f>AJ32*IF(F32="Use Default",G32,G33)</f>
        <v>#VALUE!</v>
      </c>
      <c r="AL32" s="279" t="e">
        <f>AA32*IF(K32="",K33,K32)/((IF(K32="",K33,K32)/(IF(Q32="",Q33,Q32)*2)))</f>
        <v>#DIV/0!</v>
      </c>
      <c r="AM32" s="278" t="e">
        <f>AL32/2</f>
        <v>#DIV/0!</v>
      </c>
      <c r="AN32" s="279" t="e">
        <f>AE32*IF(K32="",K33,K32)/((IF(K32="",K33,K32)/(IF(Q32="",Q33,Q32)*2)))</f>
        <v>#VALUE!</v>
      </c>
      <c r="AO32" s="278" t="e">
        <f>AN32/2</f>
        <v>#VALUE!</v>
      </c>
      <c r="AP32" s="278" t="e">
        <f>AO32-AM32</f>
        <v>#VALUE!</v>
      </c>
      <c r="AQ32" s="280" t="e">
        <f>AP32*IF(H32="Use Default",I32,I33)</f>
        <v>#VALUE!</v>
      </c>
      <c r="AR32" s="280" t="e">
        <f>AQ32+AK32</f>
        <v>#VALUE!</v>
      </c>
      <c r="AS32" s="281" t="e">
        <f>(AE32-AA32)/AA32</f>
        <v>#VALUE!</v>
      </c>
      <c r="AT32" s="281" t="e">
        <f>AS32*U32</f>
        <v>#VALUE!</v>
      </c>
      <c r="AU32" s="282" t="e">
        <f>AC32*IF(Q32="",Q33,Q32)*2</f>
        <v>#VALUE!</v>
      </c>
      <c r="AV32" s="278" t="e">
        <f>AU32/2</f>
        <v>#VALUE!</v>
      </c>
      <c r="AW32" s="282" t="e">
        <f>AV32*IF(T32="",T33,T32)</f>
        <v>#VALUE!</v>
      </c>
      <c r="AX32" s="279" t="e">
        <f>AW32*AT32</f>
        <v>#VALUE!</v>
      </c>
      <c r="AY32" s="280" t="e">
        <f>AX32*R32</f>
        <v>#VALUE!</v>
      </c>
      <c r="AZ32" s="280" t="e">
        <f>AX32*'AC model'!$D$18</f>
        <v>#VALUE!</v>
      </c>
      <c r="BA32" s="280" t="e">
        <f>AR32-AY32+AZ32</f>
        <v>#VALUE!</v>
      </c>
      <c r="BB32" s="278"/>
      <c r="BC32" s="278"/>
      <c r="BD32" s="278"/>
      <c r="BE32" s="278"/>
      <c r="BF32" s="278"/>
      <c r="BG32" s="278"/>
      <c r="BH32" s="278"/>
      <c r="BI32" s="278"/>
      <c r="BJ32" s="278"/>
      <c r="BK32" s="278"/>
      <c r="BL32" s="278"/>
      <c r="BM32" s="278"/>
      <c r="BN32" s="278"/>
      <c r="BO32" s="278"/>
      <c r="BP32" s="278"/>
      <c r="BQ32" s="278"/>
      <c r="BR32" s="278"/>
      <c r="BS32" s="278"/>
      <c r="BT32" s="278"/>
      <c r="BU32" s="278"/>
      <c r="BV32" s="278"/>
      <c r="BW32" s="278"/>
      <c r="BX32" s="278"/>
      <c r="BY32" s="278"/>
      <c r="BZ32" s="278"/>
      <c r="CA32" s="278"/>
      <c r="CB32" s="278"/>
      <c r="CC32" s="278"/>
      <c r="CD32" s="278"/>
      <c r="CE32" s="278"/>
      <c r="CF32" s="278"/>
      <c r="CG32" s="278"/>
      <c r="CH32" s="278"/>
      <c r="CI32" s="278"/>
      <c r="CJ32" s="278"/>
      <c r="CK32" s="278"/>
      <c r="CL32" s="278"/>
      <c r="CM32" s="278"/>
      <c r="CN32" s="278"/>
      <c r="CO32" s="278"/>
      <c r="CP32" s="278"/>
      <c r="CQ32" s="278"/>
      <c r="CR32" s="278"/>
      <c r="CS32" s="278"/>
      <c r="CT32" s="278"/>
      <c r="CU32" s="278"/>
      <c r="CV32" s="278"/>
    </row>
    <row r="33" spans="1:100" s="231" customFormat="1" ht="15.75">
      <c r="A33" s="271"/>
      <c r="B33" s="267"/>
      <c r="C33" s="222"/>
      <c r="D33" s="222"/>
      <c r="E33" s="222"/>
      <c r="F33" s="224">
        <f>IF(F32="Use Local Value","Enter Local Value","")</f>
      </c>
      <c r="G33" s="763"/>
      <c r="H33" s="224">
        <f>IF(H32="Use Local Value","Enter Local Value","")</f>
      </c>
      <c r="I33" s="763"/>
      <c r="J33" s="224">
        <f>IF(J32="Use Local Value","Enter Local Value","")</f>
      </c>
      <c r="K33" s="225"/>
      <c r="L33" s="224">
        <f>IF(L32="Use Local Value","Enter Local Value","")</f>
      </c>
      <c r="M33" s="226"/>
      <c r="N33" s="224">
        <f>IF(N32="Use Local Value","Enter Local Value","")</f>
      </c>
      <c r="O33" s="226"/>
      <c r="P33" s="224">
        <f>IF(P32="Use Local Value","Enter Local Value","")</f>
      </c>
      <c r="Q33" s="226"/>
      <c r="R33" s="222"/>
      <c r="S33" s="224">
        <f>IF(S32="Use Local Value","Enter Local Value","")</f>
      </c>
      <c r="T33" s="304"/>
      <c r="U33" s="222"/>
      <c r="V33" s="222"/>
      <c r="W33" s="245"/>
      <c r="X33" s="245"/>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7"/>
      <c r="BH33" s="247"/>
      <c r="BI33" s="246"/>
      <c r="BJ33" s="246"/>
      <c r="BK33" s="246"/>
      <c r="BL33" s="246"/>
      <c r="BM33" s="246"/>
      <c r="BN33" s="246"/>
      <c r="BO33" s="246"/>
      <c r="BP33" s="246"/>
      <c r="BQ33" s="246"/>
      <c r="BR33" s="246"/>
      <c r="BS33" s="246"/>
      <c r="BT33" s="246"/>
      <c r="BU33" s="246"/>
      <c r="BV33" s="246"/>
      <c r="BW33" s="246"/>
      <c r="BX33" s="246"/>
      <c r="BY33" s="246"/>
      <c r="BZ33" s="246"/>
      <c r="CA33" s="246"/>
      <c r="CB33" s="246"/>
      <c r="CC33" s="246"/>
      <c r="CD33" s="246"/>
      <c r="CE33" s="246"/>
      <c r="CF33" s="246"/>
      <c r="CG33" s="246"/>
      <c r="CH33" s="246"/>
      <c r="CI33" s="246"/>
      <c r="CJ33" s="246"/>
      <c r="CK33" s="246"/>
      <c r="CL33" s="246"/>
      <c r="CM33" s="246"/>
      <c r="CN33" s="246"/>
      <c r="CO33" s="246"/>
      <c r="CP33" s="246"/>
      <c r="CQ33" s="246"/>
      <c r="CR33" s="246"/>
      <c r="CS33" s="246"/>
      <c r="CT33" s="246"/>
      <c r="CU33" s="246"/>
      <c r="CV33" s="246"/>
    </row>
    <row r="34" spans="1:100" s="248" customFormat="1" ht="17.25" customHeight="1" thickBot="1">
      <c r="A34" s="272"/>
      <c r="B34" s="268"/>
      <c r="C34" s="249"/>
      <c r="D34" s="249"/>
      <c r="E34" s="249"/>
      <c r="F34" s="249"/>
      <c r="G34" s="249"/>
      <c r="H34" s="249"/>
      <c r="I34" s="249"/>
      <c r="J34" s="250"/>
      <c r="K34" s="251"/>
      <c r="L34" s="250"/>
      <c r="M34" s="252"/>
      <c r="N34" s="250"/>
      <c r="O34" s="252"/>
      <c r="P34" s="250"/>
      <c r="Q34" s="252"/>
      <c r="R34" s="249"/>
      <c r="S34" s="250"/>
      <c r="T34" s="305"/>
      <c r="U34" s="249"/>
      <c r="V34" s="249"/>
      <c r="W34" s="249"/>
      <c r="X34" s="276"/>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F34" s="283"/>
      <c r="BG34" s="284"/>
      <c r="BH34" s="284"/>
      <c r="BI34" s="283"/>
      <c r="BJ34" s="283"/>
      <c r="BK34" s="283"/>
      <c r="BL34" s="283"/>
      <c r="BM34" s="283"/>
      <c r="BN34" s="283"/>
      <c r="BO34" s="283"/>
      <c r="BP34" s="283"/>
      <c r="BQ34" s="283"/>
      <c r="BR34" s="283"/>
      <c r="BS34" s="283"/>
      <c r="BT34" s="283"/>
      <c r="BU34" s="283"/>
      <c r="BV34" s="283"/>
      <c r="BW34" s="283"/>
      <c r="BX34" s="283"/>
      <c r="BY34" s="283"/>
      <c r="BZ34" s="283"/>
      <c r="CA34" s="283"/>
      <c r="CB34" s="283"/>
      <c r="CC34" s="283"/>
      <c r="CD34" s="283"/>
      <c r="CE34" s="283"/>
      <c r="CF34" s="283"/>
      <c r="CG34" s="283"/>
      <c r="CH34" s="283"/>
      <c r="CI34" s="283"/>
      <c r="CJ34" s="283"/>
      <c r="CK34" s="283"/>
      <c r="CL34" s="283"/>
      <c r="CM34" s="283"/>
      <c r="CN34" s="283"/>
      <c r="CO34" s="283"/>
      <c r="CP34" s="283"/>
      <c r="CQ34" s="283"/>
      <c r="CR34" s="283"/>
      <c r="CS34" s="283"/>
      <c r="CT34" s="283"/>
      <c r="CU34" s="283"/>
      <c r="CV34" s="283"/>
    </row>
    <row r="35" spans="1:100" s="253" customFormat="1" ht="15.75">
      <c r="A35" s="270" t="s">
        <v>30</v>
      </c>
      <c r="B35" s="266" t="s">
        <v>380</v>
      </c>
      <c r="C35" s="802">
        <f>IF(A35="No","",1-'RF model'!$C$14)</f>
      </c>
      <c r="D35" s="254"/>
      <c r="E35" s="255">
        <f>IF(A35="No","",0.6)</f>
      </c>
      <c r="F35" s="762" t="s">
        <v>17</v>
      </c>
      <c r="G35" s="256">
        <f>IF(A35="No","",IF(F35="Use Default",13.3*(VLOOKUP('Start Page'!$G$4,'RF Workings'!$E$3:$G$13,2)/'RF Workings'!$F$7),""))</f>
      </c>
      <c r="H35" s="762" t="s">
        <v>17</v>
      </c>
      <c r="I35" s="256">
        <f>IF(A35="No","",IF(H35="Use Default",0.7*(VLOOKUP('Start Page'!$G$4,'RF Workings'!$E$3:$G$13,2)/'RF Workings'!$F$7),""))</f>
      </c>
      <c r="J35" s="257" t="s">
        <v>17</v>
      </c>
      <c r="K35" s="801">
        <f>IF(A35="No","",IF(J35="Use Default",IF($F$1="Non-PTE",$AB$3,$AA$3),""))</f>
      </c>
      <c r="L35" s="258" t="s">
        <v>17</v>
      </c>
      <c r="M35" s="259">
        <f>IF(A35="No","",IF(L35="Use Default",IF($F$1="Non-PTE",$AB$4,$AA$4),""))</f>
      </c>
      <c r="N35" s="258" t="s">
        <v>17</v>
      </c>
      <c r="O35" s="800">
        <f>IF(A35="No","",IF(N35="Use Default",IF($F$1="Non-PTE",$AB$5,$AA$5),""))</f>
      </c>
      <c r="P35" s="258" t="s">
        <v>17</v>
      </c>
      <c r="Q35" s="801">
        <f>IF(A35="No","",(IF(P35="Use Default",IF($F$1="Non-PTE",$AB$6,$AA$6),"")))</f>
      </c>
      <c r="R35" s="260"/>
      <c r="S35" s="258" t="s">
        <v>17</v>
      </c>
      <c r="T35" s="303">
        <f>IF(A35="No","",IF(S35="Use Default",IF('MCC Model '!$F$1="Non-PTE",$AB$7,$AA$7),""))</f>
      </c>
      <c r="U35" s="255">
        <f>IF(A35="No","",0.66)</f>
      </c>
      <c r="V35" s="433">
        <f>IF(A35="Yes",(IF(BA35&lt;0,0,BA35)),"")</f>
      </c>
      <c r="W35" s="434">
        <f>IF(A35="Yes",V35*C35*D35,"")</f>
      </c>
      <c r="X35" s="275"/>
      <c r="Y35" s="278"/>
      <c r="Z35" s="278"/>
      <c r="AA35" s="278">
        <f>IF(F25="Non-PTE",AB32,AA32)</f>
        <v>6</v>
      </c>
      <c r="AB35" s="279" t="e">
        <f>IF(AND(N35="Use Default",P35="Use Default"),Q35/O35,IF(AND(N35="Use Local Value",P35="Use Default"),Q35/O36,IF(AND(N35="Use Default",P35="Use Local Value"),Q36/O35,IF(AND(N35="Use Local Value",P35="Use Local Value"),Q36/O36))))*IF($M35="",$M36,$M35)/IF($Q35="",Q36,$Q35)</f>
        <v>#VALUE!</v>
      </c>
      <c r="AC35" s="279" t="e">
        <f>AA35*AB35</f>
        <v>#VALUE!</v>
      </c>
      <c r="AD35" s="279" t="e">
        <f>1/IF(Q35="",Q36,Q35)</f>
        <v>#DIV/0!</v>
      </c>
      <c r="AE35" s="279" t="e">
        <f>AA35*((AC35+AD35)/AC35)^E35</f>
        <v>#VALUE!</v>
      </c>
      <c r="AF35" s="279" t="e">
        <f>AA35/((IF(K35="",K36,K35)/(IF(Q35="",Q36,Q35)*2)))</f>
        <v>#DIV/0!</v>
      </c>
      <c r="AG35" s="279" t="e">
        <f>AF35/2</f>
        <v>#DIV/0!</v>
      </c>
      <c r="AH35" s="279" t="e">
        <f>AE35/((IF(K35="",K36,K35)/(IF(Q35="",Q36,Q35)*2)))</f>
        <v>#VALUE!</v>
      </c>
      <c r="AI35" s="279" t="e">
        <f>AH35/2</f>
        <v>#VALUE!</v>
      </c>
      <c r="AJ35" s="279" t="e">
        <f>AI35-AG35</f>
        <v>#VALUE!</v>
      </c>
      <c r="AK35" s="280" t="e">
        <f>AJ35*IF(F35="Use Default",G35,G36)</f>
        <v>#VALUE!</v>
      </c>
      <c r="AL35" s="279" t="e">
        <f>AA35*IF(K35="",K36,K35)/((IF(K35="",K36,K35)/(IF(Q35="",Q36,Q35)*2)))</f>
        <v>#DIV/0!</v>
      </c>
      <c r="AM35" s="278" t="e">
        <f>AL35/2</f>
        <v>#DIV/0!</v>
      </c>
      <c r="AN35" s="279" t="e">
        <f>AE35*IF(K35="",K36,K35)/((IF(K35="",K36,K35)/(IF(Q35="",Q36,Q35)*2)))</f>
        <v>#VALUE!</v>
      </c>
      <c r="AO35" s="278" t="e">
        <f>AN35/2</f>
        <v>#VALUE!</v>
      </c>
      <c r="AP35" s="278" t="e">
        <f>AO35-AM35</f>
        <v>#VALUE!</v>
      </c>
      <c r="AQ35" s="280" t="e">
        <f>AP35*IF(H35="Use Default",I35,I36)</f>
        <v>#VALUE!</v>
      </c>
      <c r="AR35" s="280" t="e">
        <f>AQ35+AK35</f>
        <v>#VALUE!</v>
      </c>
      <c r="AS35" s="281" t="e">
        <f>(AE35-AA35)/AA35</f>
        <v>#VALUE!</v>
      </c>
      <c r="AT35" s="281" t="e">
        <f>AS35*U35</f>
        <v>#VALUE!</v>
      </c>
      <c r="AU35" s="282" t="e">
        <f>AC35*IF(Q35="",Q36,Q35)*2</f>
        <v>#VALUE!</v>
      </c>
      <c r="AV35" s="278" t="e">
        <f>AU35/2</f>
        <v>#VALUE!</v>
      </c>
      <c r="AW35" s="282" t="e">
        <f>AV35*IF(T35="",T36,T35)</f>
        <v>#VALUE!</v>
      </c>
      <c r="AX35" s="279" t="e">
        <f>AW35*AT35</f>
        <v>#VALUE!</v>
      </c>
      <c r="AY35" s="280" t="e">
        <f>AX35*R35</f>
        <v>#VALUE!</v>
      </c>
      <c r="AZ35" s="280" t="e">
        <f>AX35*'AC model'!$D$18</f>
        <v>#VALUE!</v>
      </c>
      <c r="BA35" s="280" t="e">
        <f>AR35-AY35+AZ35</f>
        <v>#VALUE!</v>
      </c>
      <c r="BB35" s="278"/>
      <c r="BC35" s="278"/>
      <c r="BD35" s="278"/>
      <c r="BE35" s="278"/>
      <c r="BF35" s="278"/>
      <c r="BG35" s="278"/>
      <c r="BH35" s="278"/>
      <c r="BI35" s="278"/>
      <c r="BJ35" s="278"/>
      <c r="BK35" s="278"/>
      <c r="BL35" s="278"/>
      <c r="BM35" s="278"/>
      <c r="BN35" s="278"/>
      <c r="BO35" s="278"/>
      <c r="BP35" s="278"/>
      <c r="BQ35" s="278"/>
      <c r="BR35" s="278"/>
      <c r="BS35" s="278"/>
      <c r="BT35" s="278"/>
      <c r="BU35" s="278"/>
      <c r="BV35" s="278"/>
      <c r="BW35" s="278"/>
      <c r="BX35" s="278"/>
      <c r="BY35" s="278"/>
      <c r="BZ35" s="278"/>
      <c r="CA35" s="278"/>
      <c r="CB35" s="278"/>
      <c r="CC35" s="278"/>
      <c r="CD35" s="278"/>
      <c r="CE35" s="278"/>
      <c r="CF35" s="278"/>
      <c r="CG35" s="278"/>
      <c r="CH35" s="278"/>
      <c r="CI35" s="278"/>
      <c r="CJ35" s="278"/>
      <c r="CK35" s="278"/>
      <c r="CL35" s="278"/>
      <c r="CM35" s="278"/>
      <c r="CN35" s="278"/>
      <c r="CO35" s="278"/>
      <c r="CP35" s="278"/>
      <c r="CQ35" s="278"/>
      <c r="CR35" s="278"/>
      <c r="CS35" s="278"/>
      <c r="CT35" s="278"/>
      <c r="CU35" s="278"/>
      <c r="CV35" s="278"/>
    </row>
    <row r="36" spans="1:100" s="231" customFormat="1" ht="15.75">
      <c r="A36" s="271"/>
      <c r="B36" s="267"/>
      <c r="C36" s="222"/>
      <c r="D36" s="222"/>
      <c r="E36" s="222"/>
      <c r="F36" s="224">
        <f>IF(F35="Use Local Value","Enter Local Value","")</f>
      </c>
      <c r="G36" s="763"/>
      <c r="H36" s="224">
        <f>IF(H35="Use Local Value","Enter Local Value","")</f>
      </c>
      <c r="I36" s="763"/>
      <c r="J36" s="224">
        <f>IF(J35="Use Local Value","Enter Local Value","")</f>
      </c>
      <c r="K36" s="225"/>
      <c r="L36" s="224">
        <f>IF(L35="Use Local Value","Enter Local Value","")</f>
      </c>
      <c r="M36" s="226"/>
      <c r="N36" s="224">
        <f>IF(N35="Use Local Value","Enter Local Value","")</f>
      </c>
      <c r="O36" s="226"/>
      <c r="P36" s="224">
        <f>IF(P35="Use Local Value","Enter Local Value","")</f>
      </c>
      <c r="Q36" s="226"/>
      <c r="R36" s="222"/>
      <c r="S36" s="224">
        <f>IF(S35="Use Local Value","Enter Local Value","")</f>
      </c>
      <c r="T36" s="304"/>
      <c r="U36" s="222"/>
      <c r="V36" s="222"/>
      <c r="W36" s="245"/>
      <c r="X36" s="245"/>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7"/>
      <c r="BH36" s="247"/>
      <c r="BI36" s="246"/>
      <c r="BJ36" s="246"/>
      <c r="BK36" s="246"/>
      <c r="BL36" s="246"/>
      <c r="BM36" s="246"/>
      <c r="BN36" s="246"/>
      <c r="BO36" s="246"/>
      <c r="BP36" s="246"/>
      <c r="BQ36" s="246"/>
      <c r="BR36" s="246"/>
      <c r="BS36" s="246"/>
      <c r="BT36" s="246"/>
      <c r="BU36" s="246"/>
      <c r="BV36" s="246"/>
      <c r="BW36" s="246"/>
      <c r="BX36" s="246"/>
      <c r="BY36" s="246"/>
      <c r="BZ36" s="246"/>
      <c r="CA36" s="246"/>
      <c r="CB36" s="246"/>
      <c r="CC36" s="246"/>
      <c r="CD36" s="246"/>
      <c r="CE36" s="246"/>
      <c r="CF36" s="246"/>
      <c r="CG36" s="246"/>
      <c r="CH36" s="246"/>
      <c r="CI36" s="246"/>
      <c r="CJ36" s="246"/>
      <c r="CK36" s="246"/>
      <c r="CL36" s="246"/>
      <c r="CM36" s="246"/>
      <c r="CN36" s="246"/>
      <c r="CO36" s="246"/>
      <c r="CP36" s="246"/>
      <c r="CQ36" s="246"/>
      <c r="CR36" s="246"/>
      <c r="CS36" s="246"/>
      <c r="CT36" s="246"/>
      <c r="CU36" s="246"/>
      <c r="CV36" s="246"/>
    </row>
    <row r="37" spans="1:100" s="248" customFormat="1" ht="17.25" customHeight="1" thickBot="1">
      <c r="A37" s="272"/>
      <c r="B37" s="268"/>
      <c r="C37" s="249"/>
      <c r="D37" s="249"/>
      <c r="E37" s="249"/>
      <c r="F37" s="249"/>
      <c r="G37" s="249"/>
      <c r="H37" s="249"/>
      <c r="I37" s="249"/>
      <c r="J37" s="250"/>
      <c r="K37" s="251"/>
      <c r="L37" s="250"/>
      <c r="M37" s="252"/>
      <c r="N37" s="250"/>
      <c r="O37" s="252"/>
      <c r="P37" s="250"/>
      <c r="Q37" s="252"/>
      <c r="R37" s="249"/>
      <c r="S37" s="250"/>
      <c r="T37" s="305"/>
      <c r="U37" s="249"/>
      <c r="V37" s="249"/>
      <c r="W37" s="249"/>
      <c r="X37" s="276"/>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4"/>
      <c r="BH37" s="284"/>
      <c r="BI37" s="283"/>
      <c r="BJ37" s="283"/>
      <c r="BK37" s="283"/>
      <c r="BL37" s="283"/>
      <c r="BM37" s="283"/>
      <c r="BN37" s="283"/>
      <c r="BO37" s="283"/>
      <c r="BP37" s="283"/>
      <c r="BQ37" s="283"/>
      <c r="BR37" s="283"/>
      <c r="BS37" s="283"/>
      <c r="BT37" s="283"/>
      <c r="BU37" s="283"/>
      <c r="BV37" s="283"/>
      <c r="BW37" s="283"/>
      <c r="BX37" s="283"/>
      <c r="BY37" s="283"/>
      <c r="BZ37" s="283"/>
      <c r="CA37" s="283"/>
      <c r="CB37" s="283"/>
      <c r="CC37" s="283"/>
      <c r="CD37" s="283"/>
      <c r="CE37" s="283"/>
      <c r="CF37" s="283"/>
      <c r="CG37" s="283"/>
      <c r="CH37" s="283"/>
      <c r="CI37" s="283"/>
      <c r="CJ37" s="283"/>
      <c r="CK37" s="283"/>
      <c r="CL37" s="283"/>
      <c r="CM37" s="283"/>
      <c r="CN37" s="283"/>
      <c r="CO37" s="283"/>
      <c r="CP37" s="283"/>
      <c r="CQ37" s="283"/>
      <c r="CR37" s="283"/>
      <c r="CS37" s="283"/>
      <c r="CT37" s="283"/>
      <c r="CU37" s="283"/>
      <c r="CV37" s="283"/>
    </row>
    <row r="38" spans="1:100" s="253" customFormat="1" ht="15.75">
      <c r="A38" s="270" t="s">
        <v>30</v>
      </c>
      <c r="B38" s="266" t="s">
        <v>380</v>
      </c>
      <c r="C38" s="802">
        <f>IF(A38="No","",1-'RF model'!$C$14)</f>
      </c>
      <c r="D38" s="254"/>
      <c r="E38" s="255">
        <f>IF(A38="No","",0.6)</f>
      </c>
      <c r="F38" s="762" t="s">
        <v>17</v>
      </c>
      <c r="G38" s="256">
        <f>IF(A38="No","",IF(F38="Use Default",13.3*(VLOOKUP('Start Page'!$G$4,'RF Workings'!$E$3:$G$13,2)/'RF Workings'!$F$7),""))</f>
      </c>
      <c r="H38" s="762" t="s">
        <v>17</v>
      </c>
      <c r="I38" s="256">
        <f>IF(A38="No","",IF(H38="Use Default",0.7*(VLOOKUP('Start Page'!$G$4,'RF Workings'!$E$3:$G$13,2)/'RF Workings'!$F$7),""))</f>
      </c>
      <c r="J38" s="257" t="s">
        <v>17</v>
      </c>
      <c r="K38" s="801">
        <f>IF(A38="No","",IF(J38="Use Default",IF($F$1="Non-PTE",$AB$3,$AA$3),""))</f>
      </c>
      <c r="L38" s="258" t="s">
        <v>17</v>
      </c>
      <c r="M38" s="259">
        <f>IF(A38="No","",IF(L38="Use Default",IF($F$1="Non-PTE",$AB$4,$AA$4),""))</f>
      </c>
      <c r="N38" s="258" t="s">
        <v>17</v>
      </c>
      <c r="O38" s="800">
        <f>IF(A38="No","",IF(N38="Use Default",IF($F$1="Non-PTE",$AB$5,$AA$5),""))</f>
      </c>
      <c r="P38" s="258" t="s">
        <v>17</v>
      </c>
      <c r="Q38" s="801">
        <f>IF(A38="No","",(IF(P38="Use Default",IF($F$1="Non-PTE",$AB$6,$AA$6),"")))</f>
      </c>
      <c r="R38" s="260"/>
      <c r="S38" s="258" t="s">
        <v>17</v>
      </c>
      <c r="T38" s="303">
        <f>IF(A38="No","",IF(S38="Use Default",IF('MCC Model '!$F$1="Non-PTE",$AB$7,$AA$7),""))</f>
      </c>
      <c r="U38" s="255">
        <f>IF(A38="No","",0.66)</f>
      </c>
      <c r="V38" s="433">
        <f>IF(A38="Yes",(IF(BA38&lt;0,0,BA38)),"")</f>
      </c>
      <c r="W38" s="434">
        <f>IF(A38="Yes",V38*C38*D38,"")</f>
      </c>
      <c r="X38" s="275"/>
      <c r="Y38" s="278"/>
      <c r="Z38" s="278"/>
      <c r="AA38" s="278">
        <f>IF(F28="Non-PTE",AB35,AA35)</f>
        <v>6</v>
      </c>
      <c r="AB38" s="279" t="e">
        <f>IF(AND(N38="Use Default",P38="Use Default"),Q38/O38,IF(AND(N38="Use Local Value",P38="Use Default"),Q38/O39,IF(AND(N38="Use Default",P38="Use Local Value"),Q39/O38,IF(AND(N38="Use Local Value",P38="Use Local Value"),Q39/O39))))*IF($M38="",$M39,$M38)/IF($Q38="",Q39,$Q38)</f>
        <v>#VALUE!</v>
      </c>
      <c r="AC38" s="279" t="e">
        <f>AA38*AB38</f>
        <v>#VALUE!</v>
      </c>
      <c r="AD38" s="279" t="e">
        <f>1/IF(Q38="",Q39,Q38)</f>
        <v>#DIV/0!</v>
      </c>
      <c r="AE38" s="279" t="e">
        <f>AA38*((AC38+AD38)/AC38)^E38</f>
        <v>#VALUE!</v>
      </c>
      <c r="AF38" s="279" t="e">
        <f>AA38/((IF(K38="",K39,K38)/(IF(Q38="",Q39,Q38)*2)))</f>
        <v>#DIV/0!</v>
      </c>
      <c r="AG38" s="279" t="e">
        <f>AF38/2</f>
        <v>#DIV/0!</v>
      </c>
      <c r="AH38" s="279" t="e">
        <f>AE38/((IF(K38="",K39,K38)/(IF(Q38="",Q39,Q38)*2)))</f>
        <v>#VALUE!</v>
      </c>
      <c r="AI38" s="279" t="e">
        <f>AH38/2</f>
        <v>#VALUE!</v>
      </c>
      <c r="AJ38" s="279" t="e">
        <f>AI38-AG38</f>
        <v>#VALUE!</v>
      </c>
      <c r="AK38" s="280" t="e">
        <f>AJ38*IF(F38="Use Default",G38,G39)</f>
        <v>#VALUE!</v>
      </c>
      <c r="AL38" s="279" t="e">
        <f>AA38*IF(K38="",K39,K38)/((IF(K38="",K39,K38)/(IF(Q38="",Q39,Q38)*2)))</f>
        <v>#DIV/0!</v>
      </c>
      <c r="AM38" s="278" t="e">
        <f>AL38/2</f>
        <v>#DIV/0!</v>
      </c>
      <c r="AN38" s="279" t="e">
        <f>AE38*IF(K38="",K39,K38)/((IF(K38="",K39,K38)/(IF(Q38="",Q39,Q38)*2)))</f>
        <v>#VALUE!</v>
      </c>
      <c r="AO38" s="278" t="e">
        <f>AN38/2</f>
        <v>#VALUE!</v>
      </c>
      <c r="AP38" s="278" t="e">
        <f>AO38-AM38</f>
        <v>#VALUE!</v>
      </c>
      <c r="AQ38" s="280" t="e">
        <f>AP38*IF(H38="Use Default",I38,I39)</f>
        <v>#VALUE!</v>
      </c>
      <c r="AR38" s="280" t="e">
        <f>AQ38+AK38</f>
        <v>#VALUE!</v>
      </c>
      <c r="AS38" s="281" t="e">
        <f>(AE38-AA38)/AA38</f>
        <v>#VALUE!</v>
      </c>
      <c r="AT38" s="281" t="e">
        <f>AS38*U38</f>
        <v>#VALUE!</v>
      </c>
      <c r="AU38" s="282" t="e">
        <f>AC38*IF(Q38="",Q39,Q38)*2</f>
        <v>#VALUE!</v>
      </c>
      <c r="AV38" s="278" t="e">
        <f>AU38/2</f>
        <v>#VALUE!</v>
      </c>
      <c r="AW38" s="282" t="e">
        <f>AV38*IF(T38="",T39,T38)</f>
        <v>#VALUE!</v>
      </c>
      <c r="AX38" s="279" t="e">
        <f>AW38*AT38</f>
        <v>#VALUE!</v>
      </c>
      <c r="AY38" s="280" t="e">
        <f>AX38*R38</f>
        <v>#VALUE!</v>
      </c>
      <c r="AZ38" s="280" t="e">
        <f>AX38*'AC model'!$D$18</f>
        <v>#VALUE!</v>
      </c>
      <c r="BA38" s="280" t="e">
        <f>AR38-AY38+AZ38</f>
        <v>#VALUE!</v>
      </c>
      <c r="BB38" s="278"/>
      <c r="BC38" s="278"/>
      <c r="BD38" s="278"/>
      <c r="BE38" s="278"/>
      <c r="BF38" s="278"/>
      <c r="BG38" s="278"/>
      <c r="BH38" s="278"/>
      <c r="BI38" s="278"/>
      <c r="BJ38" s="278"/>
      <c r="BK38" s="278"/>
      <c r="BL38" s="278"/>
      <c r="BM38" s="278"/>
      <c r="BN38" s="278"/>
      <c r="BO38" s="278"/>
      <c r="BP38" s="278"/>
      <c r="BQ38" s="278"/>
      <c r="BR38" s="278"/>
      <c r="BS38" s="278"/>
      <c r="BT38" s="278"/>
      <c r="BU38" s="278"/>
      <c r="BV38" s="278"/>
      <c r="BW38" s="278"/>
      <c r="BX38" s="278"/>
      <c r="BY38" s="278"/>
      <c r="BZ38" s="278"/>
      <c r="CA38" s="278"/>
      <c r="CB38" s="278"/>
      <c r="CC38" s="278"/>
      <c r="CD38" s="278"/>
      <c r="CE38" s="278"/>
      <c r="CF38" s="278"/>
      <c r="CG38" s="278"/>
      <c r="CH38" s="278"/>
      <c r="CI38" s="278"/>
      <c r="CJ38" s="278"/>
      <c r="CK38" s="278"/>
      <c r="CL38" s="278"/>
      <c r="CM38" s="278"/>
      <c r="CN38" s="278"/>
      <c r="CO38" s="278"/>
      <c r="CP38" s="278"/>
      <c r="CQ38" s="278"/>
      <c r="CR38" s="278"/>
      <c r="CS38" s="278"/>
      <c r="CT38" s="278"/>
      <c r="CU38" s="278"/>
      <c r="CV38" s="278"/>
    </row>
    <row r="39" spans="1:100" s="231" customFormat="1" ht="15.75">
      <c r="A39" s="271"/>
      <c r="B39" s="267"/>
      <c r="C39" s="222"/>
      <c r="D39" s="222"/>
      <c r="E39" s="222"/>
      <c r="F39" s="224">
        <f>IF(F38="Use Local Value","Enter Local Value","")</f>
      </c>
      <c r="G39" s="763"/>
      <c r="H39" s="224">
        <f>IF(H38="Use Local Value","Enter Local Value","")</f>
      </c>
      <c r="I39" s="763"/>
      <c r="J39" s="224">
        <f>IF(J38="Use Local Value","Enter Local Value","")</f>
      </c>
      <c r="K39" s="225"/>
      <c r="L39" s="224">
        <f>IF(L38="Use Local Value","Enter Local Value","")</f>
      </c>
      <c r="M39" s="226"/>
      <c r="N39" s="224">
        <f>IF(N38="Use Local Value","Enter Local Value","")</f>
      </c>
      <c r="O39" s="226"/>
      <c r="P39" s="224">
        <f>IF(P38="Use Local Value","Enter Local Value","")</f>
      </c>
      <c r="Q39" s="226"/>
      <c r="R39" s="222"/>
      <c r="S39" s="224">
        <f>IF(S38="Use Local Value","Enter Local Value","")</f>
      </c>
      <c r="T39" s="304"/>
      <c r="U39" s="222"/>
      <c r="V39" s="222"/>
      <c r="W39" s="245"/>
      <c r="X39" s="245"/>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7"/>
      <c r="BH39" s="247"/>
      <c r="BI39" s="246"/>
      <c r="BJ39" s="246"/>
      <c r="BK39" s="246"/>
      <c r="BL39" s="246"/>
      <c r="BM39" s="246"/>
      <c r="BN39" s="246"/>
      <c r="BO39" s="246"/>
      <c r="BP39" s="246"/>
      <c r="BQ39" s="246"/>
      <c r="BR39" s="246"/>
      <c r="BS39" s="246"/>
      <c r="BT39" s="246"/>
      <c r="BU39" s="246"/>
      <c r="BV39" s="246"/>
      <c r="BW39" s="246"/>
      <c r="BX39" s="246"/>
      <c r="BY39" s="246"/>
      <c r="BZ39" s="246"/>
      <c r="CA39" s="246"/>
      <c r="CB39" s="246"/>
      <c r="CC39" s="246"/>
      <c r="CD39" s="246"/>
      <c r="CE39" s="246"/>
      <c r="CF39" s="246"/>
      <c r="CG39" s="246"/>
      <c r="CH39" s="246"/>
      <c r="CI39" s="246"/>
      <c r="CJ39" s="246"/>
      <c r="CK39" s="246"/>
      <c r="CL39" s="246"/>
      <c r="CM39" s="246"/>
      <c r="CN39" s="246"/>
      <c r="CO39" s="246"/>
      <c r="CP39" s="246"/>
      <c r="CQ39" s="246"/>
      <c r="CR39" s="246"/>
      <c r="CS39" s="246"/>
      <c r="CT39" s="246"/>
      <c r="CU39" s="246"/>
      <c r="CV39" s="246"/>
    </row>
    <row r="40" spans="1:100" s="248" customFormat="1" ht="17.25" customHeight="1" thickBot="1">
      <c r="A40" s="272"/>
      <c r="B40" s="268"/>
      <c r="C40" s="249"/>
      <c r="D40" s="249"/>
      <c r="E40" s="249"/>
      <c r="F40" s="249"/>
      <c r="G40" s="249"/>
      <c r="H40" s="249"/>
      <c r="I40" s="249"/>
      <c r="J40" s="250"/>
      <c r="K40" s="251"/>
      <c r="L40" s="250"/>
      <c r="M40" s="252"/>
      <c r="N40" s="250"/>
      <c r="O40" s="252"/>
      <c r="P40" s="250"/>
      <c r="Q40" s="252"/>
      <c r="R40" s="249"/>
      <c r="S40" s="250"/>
      <c r="T40" s="305"/>
      <c r="U40" s="249"/>
      <c r="V40" s="249"/>
      <c r="W40" s="249"/>
      <c r="X40" s="276"/>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4"/>
      <c r="BH40" s="284"/>
      <c r="BI40" s="283"/>
      <c r="BJ40" s="283"/>
      <c r="BK40" s="283"/>
      <c r="BL40" s="283"/>
      <c r="BM40" s="283"/>
      <c r="BN40" s="283"/>
      <c r="BO40" s="283"/>
      <c r="BP40" s="283"/>
      <c r="BQ40" s="283"/>
      <c r="BR40" s="283"/>
      <c r="BS40" s="283"/>
      <c r="BT40" s="283"/>
      <c r="BU40" s="283"/>
      <c r="BV40" s="283"/>
      <c r="BW40" s="283"/>
      <c r="BX40" s="283"/>
      <c r="BY40" s="283"/>
      <c r="BZ40" s="283"/>
      <c r="CA40" s="283"/>
      <c r="CB40" s="283"/>
      <c r="CC40" s="283"/>
      <c r="CD40" s="283"/>
      <c r="CE40" s="283"/>
      <c r="CF40" s="283"/>
      <c r="CG40" s="283"/>
      <c r="CH40" s="283"/>
      <c r="CI40" s="283"/>
      <c r="CJ40" s="283"/>
      <c r="CK40" s="283"/>
      <c r="CL40" s="283"/>
      <c r="CM40" s="283"/>
      <c r="CN40" s="283"/>
      <c r="CO40" s="283"/>
      <c r="CP40" s="283"/>
      <c r="CQ40" s="283"/>
      <c r="CR40" s="283"/>
      <c r="CS40" s="283"/>
      <c r="CT40" s="283"/>
      <c r="CU40" s="283"/>
      <c r="CV40" s="283"/>
    </row>
    <row r="41" spans="1:100" s="253" customFormat="1" ht="15.75">
      <c r="A41" s="270" t="s">
        <v>30</v>
      </c>
      <c r="B41" s="266" t="s">
        <v>380</v>
      </c>
      <c r="C41" s="802">
        <f>IF(A41="No","",1-'RF model'!$C$14)</f>
      </c>
      <c r="D41" s="254"/>
      <c r="E41" s="255">
        <f>IF(A41="No","",0.6)</f>
      </c>
      <c r="F41" s="762" t="s">
        <v>17</v>
      </c>
      <c r="G41" s="256">
        <f>IF(A41="No","",IF(F41="Use Default",13.3*(VLOOKUP('Start Page'!$G$4,'RF Workings'!$E$3:$G$13,2)/'RF Workings'!$F$7),""))</f>
      </c>
      <c r="H41" s="762" t="s">
        <v>17</v>
      </c>
      <c r="I41" s="256">
        <f>IF(A41="No","",IF(H41="Use Default",0.7*(VLOOKUP('Start Page'!$G$4,'RF Workings'!$E$3:$G$13,2)/'RF Workings'!$F$7),""))</f>
      </c>
      <c r="J41" s="257" t="s">
        <v>17</v>
      </c>
      <c r="K41" s="801">
        <f>IF(A41="No","",IF(J41="Use Default",IF($F$1="Non-PTE",$AB$3,$AA$3),""))</f>
      </c>
      <c r="L41" s="258" t="s">
        <v>17</v>
      </c>
      <c r="M41" s="259">
        <f>IF(A41="No","",IF(L41="Use Default",IF($F$1="Non-PTE",$AB$4,$AA$4),""))</f>
      </c>
      <c r="N41" s="258" t="s">
        <v>17</v>
      </c>
      <c r="O41" s="800">
        <f>IF(A41="No","",IF(N41="Use Default",IF($F$1="Non-PTE",$AB$5,$AA$5),""))</f>
      </c>
      <c r="P41" s="258" t="s">
        <v>17</v>
      </c>
      <c r="Q41" s="801">
        <f>IF(A41="No","",(IF(P41="Use Default",IF($F$1="Non-PTE",$AB$6,$AA$6),"")))</f>
      </c>
      <c r="R41" s="260"/>
      <c r="S41" s="258" t="s">
        <v>17</v>
      </c>
      <c r="T41" s="303">
        <f>IF(A41="No","",IF(S41="Use Default",IF('MCC Model '!$F$1="Non-PTE",$AB$7,$AA$7),""))</f>
      </c>
      <c r="U41" s="255">
        <f>IF(A41="No","",0.66)</f>
      </c>
      <c r="V41" s="433">
        <f>IF(A41="Yes",(IF(BA41&lt;0,0,BA41)),"")</f>
      </c>
      <c r="W41" s="434">
        <f>IF(A41="Yes",V41*C41*D41,"")</f>
      </c>
      <c r="X41" s="275"/>
      <c r="Y41" s="278"/>
      <c r="Z41" s="278"/>
      <c r="AA41" s="278">
        <f>IF(F31="Non-PTE",AB38,AA38)</f>
        <v>6</v>
      </c>
      <c r="AB41" s="279" t="e">
        <f>IF(AND(N41="Use Default",P41="Use Default"),Q41/O41,IF(AND(N41="Use Local Value",P41="Use Default"),Q41/O42,IF(AND(N41="Use Default",P41="Use Local Value"),Q42/O41,IF(AND(N41="Use Local Value",P41="Use Local Value"),Q42/O42))))*IF($M41="",$M42,$M41)/IF($Q41="",Q42,$Q41)</f>
        <v>#VALUE!</v>
      </c>
      <c r="AC41" s="279" t="e">
        <f>AA41*AB41</f>
        <v>#VALUE!</v>
      </c>
      <c r="AD41" s="279" t="e">
        <f>1/IF(Q41="",Q42,Q41)</f>
        <v>#DIV/0!</v>
      </c>
      <c r="AE41" s="279" t="e">
        <f>AA41*((AC41+AD41)/AC41)^E41</f>
        <v>#VALUE!</v>
      </c>
      <c r="AF41" s="279" t="e">
        <f>AA41/((IF(K41="",K42,K41)/(IF(Q41="",Q42,Q41)*2)))</f>
        <v>#DIV/0!</v>
      </c>
      <c r="AG41" s="279" t="e">
        <f>AF41/2</f>
        <v>#DIV/0!</v>
      </c>
      <c r="AH41" s="279" t="e">
        <f>AE41/((IF(K41="",K42,K41)/(IF(Q41="",Q42,Q41)*2)))</f>
        <v>#VALUE!</v>
      </c>
      <c r="AI41" s="279" t="e">
        <f>AH41/2</f>
        <v>#VALUE!</v>
      </c>
      <c r="AJ41" s="279" t="e">
        <f>AI41-AG41</f>
        <v>#VALUE!</v>
      </c>
      <c r="AK41" s="280" t="e">
        <f>AJ41*IF(F41="Use Default",G41,G42)</f>
        <v>#VALUE!</v>
      </c>
      <c r="AL41" s="279" t="e">
        <f>AA41*IF(K41="",K42,K41)/((IF(K41="",K42,K41)/(IF(Q41="",Q42,Q41)*2)))</f>
        <v>#DIV/0!</v>
      </c>
      <c r="AM41" s="278" t="e">
        <f>AL41/2</f>
        <v>#DIV/0!</v>
      </c>
      <c r="AN41" s="279" t="e">
        <f>AE41*IF(K41="",K42,K41)/((IF(K41="",K42,K41)/(IF(Q41="",Q42,Q41)*2)))</f>
        <v>#VALUE!</v>
      </c>
      <c r="AO41" s="278" t="e">
        <f>AN41/2</f>
        <v>#VALUE!</v>
      </c>
      <c r="AP41" s="278" t="e">
        <f>AO41-AM41</f>
        <v>#VALUE!</v>
      </c>
      <c r="AQ41" s="280" t="e">
        <f>AP41*IF(H41="Use Default",I41,I42)</f>
        <v>#VALUE!</v>
      </c>
      <c r="AR41" s="280" t="e">
        <f>AQ41+AK41</f>
        <v>#VALUE!</v>
      </c>
      <c r="AS41" s="281" t="e">
        <f>(AE41-AA41)/AA41</f>
        <v>#VALUE!</v>
      </c>
      <c r="AT41" s="281" t="e">
        <f>AS41*U41</f>
        <v>#VALUE!</v>
      </c>
      <c r="AU41" s="282" t="e">
        <f>AC41*IF(Q41="",Q42,Q41)*2</f>
        <v>#VALUE!</v>
      </c>
      <c r="AV41" s="278" t="e">
        <f>AU41/2</f>
        <v>#VALUE!</v>
      </c>
      <c r="AW41" s="282" t="e">
        <f>AV41*IF(T41="",T42,T41)</f>
        <v>#VALUE!</v>
      </c>
      <c r="AX41" s="279" t="e">
        <f>AW41*AT41</f>
        <v>#VALUE!</v>
      </c>
      <c r="AY41" s="280" t="e">
        <f>AX41*R41</f>
        <v>#VALUE!</v>
      </c>
      <c r="AZ41" s="280" t="e">
        <f>AX41*'AC model'!$D$18</f>
        <v>#VALUE!</v>
      </c>
      <c r="BA41" s="280" t="e">
        <f>AR41-AY41+AZ41</f>
        <v>#VALUE!</v>
      </c>
      <c r="BB41" s="278"/>
      <c r="BC41" s="278"/>
      <c r="BD41" s="278"/>
      <c r="BE41" s="278"/>
      <c r="BF41" s="278"/>
      <c r="BG41" s="278"/>
      <c r="BH41" s="278"/>
      <c r="BI41" s="278"/>
      <c r="BJ41" s="278"/>
      <c r="BK41" s="278"/>
      <c r="BL41" s="278"/>
      <c r="BM41" s="278"/>
      <c r="BN41" s="278"/>
      <c r="BO41" s="278"/>
      <c r="BP41" s="278"/>
      <c r="BQ41" s="278"/>
      <c r="BR41" s="278"/>
      <c r="BS41" s="278"/>
      <c r="BT41" s="278"/>
      <c r="BU41" s="278"/>
      <c r="BV41" s="278"/>
      <c r="BW41" s="278"/>
      <c r="BX41" s="278"/>
      <c r="BY41" s="278"/>
      <c r="BZ41" s="278"/>
      <c r="CA41" s="278"/>
      <c r="CB41" s="278"/>
      <c r="CC41" s="278"/>
      <c r="CD41" s="278"/>
      <c r="CE41" s="278"/>
      <c r="CF41" s="278"/>
      <c r="CG41" s="278"/>
      <c r="CH41" s="278"/>
      <c r="CI41" s="278"/>
      <c r="CJ41" s="278"/>
      <c r="CK41" s="278"/>
      <c r="CL41" s="278"/>
      <c r="CM41" s="278"/>
      <c r="CN41" s="278"/>
      <c r="CO41" s="278"/>
      <c r="CP41" s="278"/>
      <c r="CQ41" s="278"/>
      <c r="CR41" s="278"/>
      <c r="CS41" s="278"/>
      <c r="CT41" s="278"/>
      <c r="CU41" s="278"/>
      <c r="CV41" s="278"/>
    </row>
    <row r="42" spans="1:100" s="231" customFormat="1" ht="15.75">
      <c r="A42" s="271"/>
      <c r="B42" s="267"/>
      <c r="C42" s="222"/>
      <c r="D42" s="222"/>
      <c r="E42" s="222"/>
      <c r="F42" s="224">
        <f>IF(F41="Use Local Value","Enter Local Value","")</f>
      </c>
      <c r="G42" s="763"/>
      <c r="H42" s="224">
        <f>IF(H41="Use Local Value","Enter Local Value","")</f>
      </c>
      <c r="I42" s="763"/>
      <c r="J42" s="224">
        <f>IF(J41="Use Local Value","Enter Local Value","")</f>
      </c>
      <c r="K42" s="225"/>
      <c r="L42" s="224">
        <f>IF(L41="Use Local Value","Enter Local Value","")</f>
      </c>
      <c r="M42" s="226"/>
      <c r="N42" s="224">
        <f>IF(N41="Use Local Value","Enter Local Value","")</f>
      </c>
      <c r="O42" s="226"/>
      <c r="P42" s="224">
        <f>IF(P41="Use Local Value","Enter Local Value","")</f>
      </c>
      <c r="Q42" s="226"/>
      <c r="R42" s="222"/>
      <c r="S42" s="224">
        <f>IF(S41="Use Local Value","Enter Local Value","")</f>
      </c>
      <c r="T42" s="304"/>
      <c r="U42" s="222"/>
      <c r="V42" s="222"/>
      <c r="W42" s="245"/>
      <c r="X42" s="245"/>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7"/>
      <c r="BH42" s="247"/>
      <c r="BI42" s="246"/>
      <c r="BJ42" s="246"/>
      <c r="BK42" s="246"/>
      <c r="BL42" s="246"/>
      <c r="BM42" s="246"/>
      <c r="BN42" s="246"/>
      <c r="BO42" s="246"/>
      <c r="BP42" s="246"/>
      <c r="BQ42" s="246"/>
      <c r="BR42" s="246"/>
      <c r="BS42" s="246"/>
      <c r="BT42" s="246"/>
      <c r="BU42" s="246"/>
      <c r="BV42" s="246"/>
      <c r="BW42" s="246"/>
      <c r="BX42" s="246"/>
      <c r="BY42" s="246"/>
      <c r="BZ42" s="246"/>
      <c r="CA42" s="246"/>
      <c r="CB42" s="246"/>
      <c r="CC42" s="246"/>
      <c r="CD42" s="246"/>
      <c r="CE42" s="246"/>
      <c r="CF42" s="246"/>
      <c r="CG42" s="246"/>
      <c r="CH42" s="246"/>
      <c r="CI42" s="246"/>
      <c r="CJ42" s="246"/>
      <c r="CK42" s="246"/>
      <c r="CL42" s="246"/>
      <c r="CM42" s="246"/>
      <c r="CN42" s="246"/>
      <c r="CO42" s="246"/>
      <c r="CP42" s="246"/>
      <c r="CQ42" s="246"/>
      <c r="CR42" s="246"/>
      <c r="CS42" s="246"/>
      <c r="CT42" s="246"/>
      <c r="CU42" s="246"/>
      <c r="CV42" s="246"/>
    </row>
    <row r="43" spans="1:100" s="248" customFormat="1" ht="17.25" customHeight="1" thickBot="1">
      <c r="A43" s="272"/>
      <c r="B43" s="268"/>
      <c r="C43" s="249"/>
      <c r="D43" s="249"/>
      <c r="E43" s="249"/>
      <c r="F43" s="249"/>
      <c r="G43" s="249"/>
      <c r="H43" s="249"/>
      <c r="I43" s="249"/>
      <c r="J43" s="250"/>
      <c r="K43" s="251"/>
      <c r="L43" s="250"/>
      <c r="M43" s="252"/>
      <c r="N43" s="250"/>
      <c r="O43" s="252"/>
      <c r="P43" s="250"/>
      <c r="Q43" s="252"/>
      <c r="R43" s="249"/>
      <c r="S43" s="250"/>
      <c r="T43" s="305"/>
      <c r="U43" s="249"/>
      <c r="V43" s="249"/>
      <c r="W43" s="249"/>
      <c r="X43" s="276"/>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4"/>
      <c r="BH43" s="284"/>
      <c r="BI43" s="283"/>
      <c r="BJ43" s="283"/>
      <c r="BK43" s="283"/>
      <c r="BL43" s="283"/>
      <c r="BM43" s="283"/>
      <c r="BN43" s="283"/>
      <c r="BO43" s="283"/>
      <c r="BP43" s="283"/>
      <c r="BQ43" s="283"/>
      <c r="BR43" s="283"/>
      <c r="BS43" s="283"/>
      <c r="BT43" s="283"/>
      <c r="BU43" s="283"/>
      <c r="BV43" s="283"/>
      <c r="BW43" s="283"/>
      <c r="BX43" s="283"/>
      <c r="BY43" s="283"/>
      <c r="BZ43" s="283"/>
      <c r="CA43" s="283"/>
      <c r="CB43" s="283"/>
      <c r="CC43" s="283"/>
      <c r="CD43" s="283"/>
      <c r="CE43" s="283"/>
      <c r="CF43" s="283"/>
      <c r="CG43" s="283"/>
      <c r="CH43" s="283"/>
      <c r="CI43" s="283"/>
      <c r="CJ43" s="283"/>
      <c r="CK43" s="283"/>
      <c r="CL43" s="283"/>
      <c r="CM43" s="283"/>
      <c r="CN43" s="283"/>
      <c r="CO43" s="283"/>
      <c r="CP43" s="283"/>
      <c r="CQ43" s="283"/>
      <c r="CR43" s="283"/>
      <c r="CS43" s="283"/>
      <c r="CT43" s="283"/>
      <c r="CU43" s="283"/>
      <c r="CV43" s="283"/>
    </row>
    <row r="44" spans="1:100" s="253" customFormat="1" ht="15.75">
      <c r="A44" s="270" t="s">
        <v>30</v>
      </c>
      <c r="B44" s="266" t="s">
        <v>380</v>
      </c>
      <c r="C44" s="802">
        <f>IF(A44="No","",1-'RF model'!$C$14)</f>
      </c>
      <c r="D44" s="254"/>
      <c r="E44" s="255">
        <f>IF(A44="No","",0.6)</f>
      </c>
      <c r="F44" s="762" t="s">
        <v>17</v>
      </c>
      <c r="G44" s="256">
        <f>IF(A44="No","",IF(F44="Use Default",13.3*(VLOOKUP('Start Page'!$G$4,'RF Workings'!$E$3:$G$13,2)/'RF Workings'!$F$7),""))</f>
      </c>
      <c r="H44" s="762" t="s">
        <v>17</v>
      </c>
      <c r="I44" s="256">
        <f>IF(A44="No","",IF(H44="Use Default",0.7*(VLOOKUP('Start Page'!$G$4,'RF Workings'!$E$3:$G$13,2)/'RF Workings'!$F$7),""))</f>
      </c>
      <c r="J44" s="257" t="s">
        <v>17</v>
      </c>
      <c r="K44" s="801">
        <f>IF(A44="No","",IF(J44="Use Default",IF($F$1="Non-PTE",$AB$3,$AA$3),""))</f>
      </c>
      <c r="L44" s="258" t="s">
        <v>17</v>
      </c>
      <c r="M44" s="259">
        <f>IF(A44="No","",IF(L44="Use Default",IF($F$1="Non-PTE",$AB$4,$AA$4),""))</f>
      </c>
      <c r="N44" s="258" t="s">
        <v>17</v>
      </c>
      <c r="O44" s="800">
        <f>IF(A44="No","",IF(N44="Use Default",IF($F$1="Non-PTE",$AB$5,$AA$5),""))</f>
      </c>
      <c r="P44" s="258" t="s">
        <v>17</v>
      </c>
      <c r="Q44" s="801">
        <f>IF(A44="No","",(IF(P44="Use Default",IF($F$1="Non-PTE",$AB$6,$AA$6),"")))</f>
      </c>
      <c r="R44" s="260"/>
      <c r="S44" s="258" t="s">
        <v>17</v>
      </c>
      <c r="T44" s="303">
        <f>IF(A44="No","",IF(S44="Use Default",IF('MCC Model '!$F$1="Non-PTE",$AB$7,$AA$7),""))</f>
      </c>
      <c r="U44" s="255">
        <f>IF(A44="No","",0.66)</f>
      </c>
      <c r="V44" s="433">
        <f>IF(A44="Yes",(IF(BA44&lt;0,0,BA44)),"")</f>
      </c>
      <c r="W44" s="434">
        <f>IF(A44="Yes",V44*C44*D44,"")</f>
      </c>
      <c r="X44" s="275"/>
      <c r="Y44" s="278"/>
      <c r="Z44" s="278"/>
      <c r="AA44" s="278">
        <f>IF(F34="Non-PTE",AB41,AA41)</f>
        <v>6</v>
      </c>
      <c r="AB44" s="279" t="e">
        <f>IF(AND(N44="Use Default",P44="Use Default"),Q44/O44,IF(AND(N44="Use Local Value",P44="Use Default"),Q44/O45,IF(AND(N44="Use Default",P44="Use Local Value"),Q45/O44,IF(AND(N44="Use Local Value",P44="Use Local Value"),Q45/O45))))*IF($M44="",$M45,$M44)/IF($Q44="",Q45,$Q44)</f>
        <v>#VALUE!</v>
      </c>
      <c r="AC44" s="279" t="e">
        <f>AA44*AB44</f>
        <v>#VALUE!</v>
      </c>
      <c r="AD44" s="279" t="e">
        <f>1/IF(Q44="",Q45,Q44)</f>
        <v>#DIV/0!</v>
      </c>
      <c r="AE44" s="279" t="e">
        <f>AA44*((AC44+AD44)/AC44)^E44</f>
        <v>#VALUE!</v>
      </c>
      <c r="AF44" s="279" t="e">
        <f>AA44/((IF(K44="",K45,K44)/(IF(Q44="",Q45,Q44)*2)))</f>
        <v>#DIV/0!</v>
      </c>
      <c r="AG44" s="279" t="e">
        <f>AF44/2</f>
        <v>#DIV/0!</v>
      </c>
      <c r="AH44" s="279" t="e">
        <f>AE44/((IF(K44="",K45,K44)/(IF(Q44="",Q45,Q44)*2)))</f>
        <v>#VALUE!</v>
      </c>
      <c r="AI44" s="279" t="e">
        <f>AH44/2</f>
        <v>#VALUE!</v>
      </c>
      <c r="AJ44" s="279" t="e">
        <f>AI44-AG44</f>
        <v>#VALUE!</v>
      </c>
      <c r="AK44" s="280" t="e">
        <f>AJ44*IF(F44="Use Default",G44,G45)</f>
        <v>#VALUE!</v>
      </c>
      <c r="AL44" s="279" t="e">
        <f>AA44*IF(K44="",K45,K44)/((IF(K44="",K45,K44)/(IF(Q44="",Q45,Q44)*2)))</f>
        <v>#DIV/0!</v>
      </c>
      <c r="AM44" s="278" t="e">
        <f>AL44/2</f>
        <v>#DIV/0!</v>
      </c>
      <c r="AN44" s="279" t="e">
        <f>AE44*IF(K44="",K45,K44)/((IF(K44="",K45,K44)/(IF(Q44="",Q45,Q44)*2)))</f>
        <v>#VALUE!</v>
      </c>
      <c r="AO44" s="278" t="e">
        <f>AN44/2</f>
        <v>#VALUE!</v>
      </c>
      <c r="AP44" s="278" t="e">
        <f>AO44-AM44</f>
        <v>#VALUE!</v>
      </c>
      <c r="AQ44" s="280" t="e">
        <f>AP44*IF(H44="Use Default",I44,I45)</f>
        <v>#VALUE!</v>
      </c>
      <c r="AR44" s="280" t="e">
        <f>AQ44+AK44</f>
        <v>#VALUE!</v>
      </c>
      <c r="AS44" s="281" t="e">
        <f>(AE44-AA44)/AA44</f>
        <v>#VALUE!</v>
      </c>
      <c r="AT44" s="281" t="e">
        <f>AS44*U44</f>
        <v>#VALUE!</v>
      </c>
      <c r="AU44" s="282" t="e">
        <f>AC44*IF(Q44="",Q45,Q44)*2</f>
        <v>#VALUE!</v>
      </c>
      <c r="AV44" s="278" t="e">
        <f>AU44/2</f>
        <v>#VALUE!</v>
      </c>
      <c r="AW44" s="282" t="e">
        <f>AV44*IF(T44="",T45,T44)</f>
        <v>#VALUE!</v>
      </c>
      <c r="AX44" s="279" t="e">
        <f>AW44*AT44</f>
        <v>#VALUE!</v>
      </c>
      <c r="AY44" s="280" t="e">
        <f>AX44*R44</f>
        <v>#VALUE!</v>
      </c>
      <c r="AZ44" s="280" t="e">
        <f>AX44*'AC model'!$D$18</f>
        <v>#VALUE!</v>
      </c>
      <c r="BA44" s="280" t="e">
        <f>AR44-AY44+AZ44</f>
        <v>#VALUE!</v>
      </c>
      <c r="BB44" s="278"/>
      <c r="BC44" s="278"/>
      <c r="BD44" s="278"/>
      <c r="BE44" s="278"/>
      <c r="BF44" s="278"/>
      <c r="BG44" s="278"/>
      <c r="BH44" s="278"/>
      <c r="BI44" s="278"/>
      <c r="BJ44" s="278"/>
      <c r="BK44" s="278"/>
      <c r="BL44" s="278"/>
      <c r="BM44" s="278"/>
      <c r="BN44" s="278"/>
      <c r="BO44" s="278"/>
      <c r="BP44" s="278"/>
      <c r="BQ44" s="278"/>
      <c r="BR44" s="278"/>
      <c r="BS44" s="278"/>
      <c r="BT44" s="278"/>
      <c r="BU44" s="278"/>
      <c r="BV44" s="278"/>
      <c r="BW44" s="278"/>
      <c r="BX44" s="278"/>
      <c r="BY44" s="278"/>
      <c r="BZ44" s="278"/>
      <c r="CA44" s="278"/>
      <c r="CB44" s="278"/>
      <c r="CC44" s="278"/>
      <c r="CD44" s="278"/>
      <c r="CE44" s="278"/>
      <c r="CF44" s="278"/>
      <c r="CG44" s="278"/>
      <c r="CH44" s="278"/>
      <c r="CI44" s="278"/>
      <c r="CJ44" s="278"/>
      <c r="CK44" s="278"/>
      <c r="CL44" s="278"/>
      <c r="CM44" s="278"/>
      <c r="CN44" s="278"/>
      <c r="CO44" s="278"/>
      <c r="CP44" s="278"/>
      <c r="CQ44" s="278"/>
      <c r="CR44" s="278"/>
      <c r="CS44" s="278"/>
      <c r="CT44" s="278"/>
      <c r="CU44" s="278"/>
      <c r="CV44" s="278"/>
    </row>
    <row r="45" spans="1:100" s="231" customFormat="1" ht="15.75">
      <c r="A45" s="271"/>
      <c r="B45" s="267"/>
      <c r="C45" s="222"/>
      <c r="D45" s="222"/>
      <c r="E45" s="222"/>
      <c r="F45" s="224">
        <f>IF(F44="Use Local Value","Enter Local Value","")</f>
      </c>
      <c r="G45" s="763"/>
      <c r="H45" s="224">
        <f>IF(H44="Use Local Value","Enter Local Value","")</f>
      </c>
      <c r="I45" s="763"/>
      <c r="J45" s="224">
        <f>IF(J44="Use Local Value","Enter Local Value","")</f>
      </c>
      <c r="K45" s="225"/>
      <c r="L45" s="224">
        <f>IF(L44="Use Local Value","Enter Local Value","")</f>
      </c>
      <c r="M45" s="226"/>
      <c r="N45" s="224">
        <f>IF(N44="Use Local Value","Enter Local Value","")</f>
      </c>
      <c r="O45" s="226"/>
      <c r="P45" s="224">
        <f>IF(P44="Use Local Value","Enter Local Value","")</f>
      </c>
      <c r="Q45" s="226"/>
      <c r="R45" s="222"/>
      <c r="S45" s="224">
        <f>IF(S44="Use Local Value","Enter Local Value","")</f>
      </c>
      <c r="T45" s="304"/>
      <c r="U45" s="222"/>
      <c r="V45" s="222"/>
      <c r="W45" s="245"/>
      <c r="X45" s="245"/>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7"/>
      <c r="BH45" s="247"/>
      <c r="BI45" s="246"/>
      <c r="BJ45" s="246"/>
      <c r="BK45" s="246"/>
      <c r="BL45" s="246"/>
      <c r="BM45" s="246"/>
      <c r="BN45" s="246"/>
      <c r="BO45" s="246"/>
      <c r="BP45" s="246"/>
      <c r="BQ45" s="246"/>
      <c r="BR45" s="246"/>
      <c r="BS45" s="246"/>
      <c r="BT45" s="246"/>
      <c r="BU45" s="246"/>
      <c r="BV45" s="246"/>
      <c r="BW45" s="246"/>
      <c r="BX45" s="246"/>
      <c r="BY45" s="246"/>
      <c r="BZ45" s="246"/>
      <c r="CA45" s="246"/>
      <c r="CB45" s="246"/>
      <c r="CC45" s="246"/>
      <c r="CD45" s="246"/>
      <c r="CE45" s="246"/>
      <c r="CF45" s="246"/>
      <c r="CG45" s="246"/>
      <c r="CH45" s="246"/>
      <c r="CI45" s="246"/>
      <c r="CJ45" s="246"/>
      <c r="CK45" s="246"/>
      <c r="CL45" s="246"/>
      <c r="CM45" s="246"/>
      <c r="CN45" s="246"/>
      <c r="CO45" s="246"/>
      <c r="CP45" s="246"/>
      <c r="CQ45" s="246"/>
      <c r="CR45" s="246"/>
      <c r="CS45" s="246"/>
      <c r="CT45" s="246"/>
      <c r="CU45" s="246"/>
      <c r="CV45" s="246"/>
    </row>
    <row r="46" spans="1:100" s="248" customFormat="1" ht="17.25" customHeight="1" thickBot="1">
      <c r="A46" s="272"/>
      <c r="B46" s="268"/>
      <c r="C46" s="249"/>
      <c r="D46" s="249"/>
      <c r="E46" s="249"/>
      <c r="F46" s="249"/>
      <c r="G46" s="249"/>
      <c r="H46" s="249"/>
      <c r="I46" s="249"/>
      <c r="J46" s="250"/>
      <c r="K46" s="251"/>
      <c r="L46" s="250"/>
      <c r="M46" s="252"/>
      <c r="N46" s="250"/>
      <c r="O46" s="252"/>
      <c r="P46" s="250"/>
      <c r="Q46" s="252"/>
      <c r="R46" s="249"/>
      <c r="S46" s="250"/>
      <c r="T46" s="305"/>
      <c r="U46" s="249"/>
      <c r="V46" s="249"/>
      <c r="W46" s="249"/>
      <c r="X46" s="276"/>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4"/>
      <c r="BH46" s="284"/>
      <c r="BI46" s="283"/>
      <c r="BJ46" s="283"/>
      <c r="BK46" s="283"/>
      <c r="BL46" s="283"/>
      <c r="BM46" s="283"/>
      <c r="BN46" s="283"/>
      <c r="BO46" s="283"/>
      <c r="BP46" s="283"/>
      <c r="BQ46" s="283"/>
      <c r="BR46" s="283"/>
      <c r="BS46" s="283"/>
      <c r="BT46" s="283"/>
      <c r="BU46" s="283"/>
      <c r="BV46" s="283"/>
      <c r="BW46" s="283"/>
      <c r="BX46" s="283"/>
      <c r="BY46" s="283"/>
      <c r="BZ46" s="283"/>
      <c r="CA46" s="283"/>
      <c r="CB46" s="283"/>
      <c r="CC46" s="283"/>
      <c r="CD46" s="283"/>
      <c r="CE46" s="283"/>
      <c r="CF46" s="283"/>
      <c r="CG46" s="283"/>
      <c r="CH46" s="283"/>
      <c r="CI46" s="283"/>
      <c r="CJ46" s="283"/>
      <c r="CK46" s="283"/>
      <c r="CL46" s="283"/>
      <c r="CM46" s="283"/>
      <c r="CN46" s="283"/>
      <c r="CO46" s="283"/>
      <c r="CP46" s="283"/>
      <c r="CQ46" s="283"/>
      <c r="CR46" s="283"/>
      <c r="CS46" s="283"/>
      <c r="CT46" s="283"/>
      <c r="CU46" s="283"/>
      <c r="CV46" s="283"/>
    </row>
    <row r="47" spans="1:100" s="253" customFormat="1" ht="15.75">
      <c r="A47" s="270" t="s">
        <v>30</v>
      </c>
      <c r="B47" s="266" t="s">
        <v>380</v>
      </c>
      <c r="C47" s="802">
        <f>IF(A47="No","",1-'RF model'!$C$14)</f>
      </c>
      <c r="D47" s="254"/>
      <c r="E47" s="255">
        <f>IF(A47="No","",0.6)</f>
      </c>
      <c r="F47" s="762" t="s">
        <v>17</v>
      </c>
      <c r="G47" s="256">
        <f>IF(A47="No","",IF(F47="Use Default",13.3*(VLOOKUP('Start Page'!$G$4,'RF Workings'!$E$3:$G$13,2)/'RF Workings'!$F$7),""))</f>
      </c>
      <c r="H47" s="762" t="s">
        <v>17</v>
      </c>
      <c r="I47" s="256">
        <f>IF(A47="No","",IF(H47="Use Default",0.7*(VLOOKUP('Start Page'!$G$4,'RF Workings'!$E$3:$G$13,2)/'RF Workings'!$F$7),""))</f>
      </c>
      <c r="J47" s="257" t="s">
        <v>17</v>
      </c>
      <c r="K47" s="801">
        <f>IF(A47="No","",IF(J47="Use Default",IF($F$1="Non-PTE",$AB$3,$AA$3),""))</f>
      </c>
      <c r="L47" s="258" t="s">
        <v>17</v>
      </c>
      <c r="M47" s="259">
        <f>IF(A47="No","",IF(L47="Use Default",IF($F$1="Non-PTE",$AB$4,$AA$4),""))</f>
      </c>
      <c r="N47" s="258" t="s">
        <v>17</v>
      </c>
      <c r="O47" s="800">
        <f>IF(A47="No","",IF(N47="Use Default",IF($F$1="Non-PTE",$AB$5,$AA$5),""))</f>
      </c>
      <c r="P47" s="258" t="s">
        <v>17</v>
      </c>
      <c r="Q47" s="801">
        <f>IF(A47="No","",(IF(P47="Use Default",IF($F$1="Non-PTE",$AB$6,$AA$6),"")))</f>
      </c>
      <c r="R47" s="260"/>
      <c r="S47" s="258" t="s">
        <v>17</v>
      </c>
      <c r="T47" s="303">
        <f>IF(A47="No","",IF(S47="Use Default",IF('MCC Model '!$F$1="Non-PTE",$AB$7,$AA$7),""))</f>
      </c>
      <c r="U47" s="255">
        <f>IF(A47="No","",0.66)</f>
      </c>
      <c r="V47" s="433">
        <f>IF(A47="Yes",(IF(BA47&lt;0,0,BA47)),"")</f>
      </c>
      <c r="W47" s="434">
        <f>IF(A47="Yes",V47*C47*D47,"")</f>
      </c>
      <c r="X47" s="275"/>
      <c r="Y47" s="278"/>
      <c r="Z47" s="278"/>
      <c r="AA47" s="278">
        <f>IF(F37="Non-PTE",AB44,AA44)</f>
        <v>6</v>
      </c>
      <c r="AB47" s="279" t="e">
        <f>IF(AND(N47="Use Default",P47="Use Default"),Q47/O47,IF(AND(N47="Use Local Value",P47="Use Default"),Q47/O48,IF(AND(N47="Use Default",P47="Use Local Value"),Q48/O47,IF(AND(N47="Use Local Value",P47="Use Local Value"),Q48/O48))))*IF($M47="",$M48,$M47)/IF($Q47="",Q48,$Q47)</f>
        <v>#VALUE!</v>
      </c>
      <c r="AC47" s="279" t="e">
        <f>AA47*AB47</f>
        <v>#VALUE!</v>
      </c>
      <c r="AD47" s="279" t="e">
        <f>1/IF(Q47="",Q48,Q47)</f>
        <v>#DIV/0!</v>
      </c>
      <c r="AE47" s="279" t="e">
        <f>AA47*((AC47+AD47)/AC47)^E47</f>
        <v>#VALUE!</v>
      </c>
      <c r="AF47" s="279" t="e">
        <f>AA47/((IF(K47="",K48,K47)/(IF(Q47="",Q48,Q47)*2)))</f>
        <v>#DIV/0!</v>
      </c>
      <c r="AG47" s="279" t="e">
        <f>AF47/2</f>
        <v>#DIV/0!</v>
      </c>
      <c r="AH47" s="279" t="e">
        <f>AE47/((IF(K47="",K48,K47)/(IF(Q47="",Q48,Q47)*2)))</f>
        <v>#VALUE!</v>
      </c>
      <c r="AI47" s="279" t="e">
        <f>AH47/2</f>
        <v>#VALUE!</v>
      </c>
      <c r="AJ47" s="279" t="e">
        <f>AI47-AG47</f>
        <v>#VALUE!</v>
      </c>
      <c r="AK47" s="280" t="e">
        <f>AJ47*IF(F47="Use Default",G47,G48)</f>
        <v>#VALUE!</v>
      </c>
      <c r="AL47" s="279" t="e">
        <f>AA47*IF(K47="",K48,K47)/((IF(K47="",K48,K47)/(IF(Q47="",Q48,Q47)*2)))</f>
        <v>#DIV/0!</v>
      </c>
      <c r="AM47" s="278" t="e">
        <f>AL47/2</f>
        <v>#DIV/0!</v>
      </c>
      <c r="AN47" s="279" t="e">
        <f>AE47*IF(K47="",K48,K47)/((IF(K47="",K48,K47)/(IF(Q47="",Q48,Q47)*2)))</f>
        <v>#VALUE!</v>
      </c>
      <c r="AO47" s="278" t="e">
        <f>AN47/2</f>
        <v>#VALUE!</v>
      </c>
      <c r="AP47" s="278" t="e">
        <f>AO47-AM47</f>
        <v>#VALUE!</v>
      </c>
      <c r="AQ47" s="280" t="e">
        <f>AP47*IF(H47="Use Default",I47,I48)</f>
        <v>#VALUE!</v>
      </c>
      <c r="AR47" s="280" t="e">
        <f>AQ47+AK47</f>
        <v>#VALUE!</v>
      </c>
      <c r="AS47" s="281" t="e">
        <f>(AE47-AA47)/AA47</f>
        <v>#VALUE!</v>
      </c>
      <c r="AT47" s="281" t="e">
        <f>AS47*U47</f>
        <v>#VALUE!</v>
      </c>
      <c r="AU47" s="282" t="e">
        <f>AC47*IF(Q47="",Q48,Q47)*2</f>
        <v>#VALUE!</v>
      </c>
      <c r="AV47" s="278" t="e">
        <f>AU47/2</f>
        <v>#VALUE!</v>
      </c>
      <c r="AW47" s="282" t="e">
        <f>AV47*IF(T47="",T48,T47)</f>
        <v>#VALUE!</v>
      </c>
      <c r="AX47" s="279" t="e">
        <f>AW47*AT47</f>
        <v>#VALUE!</v>
      </c>
      <c r="AY47" s="280" t="e">
        <f>AX47*R47</f>
        <v>#VALUE!</v>
      </c>
      <c r="AZ47" s="280" t="e">
        <f>AX47*'AC model'!$D$18</f>
        <v>#VALUE!</v>
      </c>
      <c r="BA47" s="280" t="e">
        <f>AR47-AY47+AZ47</f>
        <v>#VALUE!</v>
      </c>
      <c r="BB47" s="278"/>
      <c r="BC47" s="278"/>
      <c r="BD47" s="278"/>
      <c r="BE47" s="278"/>
      <c r="BF47" s="278"/>
      <c r="BG47" s="278"/>
      <c r="BH47" s="278"/>
      <c r="BI47" s="278"/>
      <c r="BJ47" s="278"/>
      <c r="BK47" s="278"/>
      <c r="BL47" s="278"/>
      <c r="BM47" s="278"/>
      <c r="BN47" s="278"/>
      <c r="BO47" s="278"/>
      <c r="BP47" s="278"/>
      <c r="BQ47" s="278"/>
      <c r="BR47" s="278"/>
      <c r="BS47" s="278"/>
      <c r="BT47" s="278"/>
      <c r="BU47" s="278"/>
      <c r="BV47" s="278"/>
      <c r="BW47" s="278"/>
      <c r="BX47" s="278"/>
      <c r="BY47" s="278"/>
      <c r="BZ47" s="278"/>
      <c r="CA47" s="278"/>
      <c r="CB47" s="278"/>
      <c r="CC47" s="278"/>
      <c r="CD47" s="278"/>
      <c r="CE47" s="278"/>
      <c r="CF47" s="278"/>
      <c r="CG47" s="278"/>
      <c r="CH47" s="278"/>
      <c r="CI47" s="278"/>
      <c r="CJ47" s="278"/>
      <c r="CK47" s="278"/>
      <c r="CL47" s="278"/>
      <c r="CM47" s="278"/>
      <c r="CN47" s="278"/>
      <c r="CO47" s="278"/>
      <c r="CP47" s="278"/>
      <c r="CQ47" s="278"/>
      <c r="CR47" s="278"/>
      <c r="CS47" s="278"/>
      <c r="CT47" s="278"/>
      <c r="CU47" s="278"/>
      <c r="CV47" s="278"/>
    </row>
    <row r="48" spans="1:100" s="231" customFormat="1" ht="15.75">
      <c r="A48" s="271"/>
      <c r="B48" s="267"/>
      <c r="C48" s="222"/>
      <c r="D48" s="222"/>
      <c r="E48" s="222"/>
      <c r="F48" s="224">
        <f>IF(F47="Use Local Value","Enter Local Value","")</f>
      </c>
      <c r="G48" s="763"/>
      <c r="H48" s="224">
        <f>IF(H47="Use Local Value","Enter Local Value","")</f>
      </c>
      <c r="I48" s="763"/>
      <c r="J48" s="224">
        <f>IF(J47="Use Local Value","Enter Local Value","")</f>
      </c>
      <c r="K48" s="225"/>
      <c r="L48" s="224">
        <f>IF(L47="Use Local Value","Enter Local Value","")</f>
      </c>
      <c r="M48" s="226"/>
      <c r="N48" s="224">
        <f>IF(N47="Use Local Value","Enter Local Value","")</f>
      </c>
      <c r="O48" s="226"/>
      <c r="P48" s="224">
        <f>IF(P47="Use Local Value","Enter Local Value","")</f>
      </c>
      <c r="Q48" s="226"/>
      <c r="R48" s="222"/>
      <c r="S48" s="224">
        <f>IF(S47="Use Local Value","Enter Local Value","")</f>
      </c>
      <c r="T48" s="304"/>
      <c r="U48" s="222"/>
      <c r="V48" s="222"/>
      <c r="W48" s="245"/>
      <c r="X48" s="245"/>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7"/>
      <c r="BH48" s="247"/>
      <c r="BI48" s="246"/>
      <c r="BJ48" s="246"/>
      <c r="BK48" s="246"/>
      <c r="BL48" s="246"/>
      <c r="BM48" s="246"/>
      <c r="BN48" s="246"/>
      <c r="BO48" s="246"/>
      <c r="BP48" s="246"/>
      <c r="BQ48" s="246"/>
      <c r="BR48" s="246"/>
      <c r="BS48" s="246"/>
      <c r="BT48" s="246"/>
      <c r="BU48" s="246"/>
      <c r="BV48" s="246"/>
      <c r="BW48" s="246"/>
      <c r="BX48" s="246"/>
      <c r="BY48" s="246"/>
      <c r="BZ48" s="246"/>
      <c r="CA48" s="246"/>
      <c r="CB48" s="246"/>
      <c r="CC48" s="246"/>
      <c r="CD48" s="246"/>
      <c r="CE48" s="246"/>
      <c r="CF48" s="246"/>
      <c r="CG48" s="246"/>
      <c r="CH48" s="246"/>
      <c r="CI48" s="246"/>
      <c r="CJ48" s="246"/>
      <c r="CK48" s="246"/>
      <c r="CL48" s="246"/>
      <c r="CM48" s="246"/>
      <c r="CN48" s="246"/>
      <c r="CO48" s="246"/>
      <c r="CP48" s="246"/>
      <c r="CQ48" s="246"/>
      <c r="CR48" s="246"/>
      <c r="CS48" s="246"/>
      <c r="CT48" s="246"/>
      <c r="CU48" s="246"/>
      <c r="CV48" s="246"/>
    </row>
    <row r="49" spans="1:100" s="248" customFormat="1" ht="17.25" customHeight="1" thickBot="1">
      <c r="A49" s="272"/>
      <c r="B49" s="268"/>
      <c r="C49" s="249"/>
      <c r="D49" s="249"/>
      <c r="E49" s="249"/>
      <c r="F49" s="249"/>
      <c r="G49" s="249"/>
      <c r="H49" s="249"/>
      <c r="I49" s="249"/>
      <c r="J49" s="250"/>
      <c r="K49" s="251"/>
      <c r="L49" s="250"/>
      <c r="M49" s="252"/>
      <c r="N49" s="250"/>
      <c r="O49" s="252"/>
      <c r="P49" s="250"/>
      <c r="Q49" s="252"/>
      <c r="R49" s="249"/>
      <c r="S49" s="250"/>
      <c r="T49" s="305"/>
      <c r="U49" s="249"/>
      <c r="V49" s="249"/>
      <c r="W49" s="249"/>
      <c r="X49" s="276"/>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4"/>
      <c r="BH49" s="284"/>
      <c r="BI49" s="283"/>
      <c r="BJ49" s="283"/>
      <c r="BK49" s="283"/>
      <c r="BL49" s="283"/>
      <c r="BM49" s="283"/>
      <c r="BN49" s="283"/>
      <c r="BO49" s="283"/>
      <c r="BP49" s="283"/>
      <c r="BQ49" s="283"/>
      <c r="BR49" s="283"/>
      <c r="BS49" s="283"/>
      <c r="BT49" s="283"/>
      <c r="BU49" s="283"/>
      <c r="BV49" s="283"/>
      <c r="BW49" s="283"/>
      <c r="BX49" s="283"/>
      <c r="BY49" s="283"/>
      <c r="BZ49" s="283"/>
      <c r="CA49" s="283"/>
      <c r="CB49" s="283"/>
      <c r="CC49" s="283"/>
      <c r="CD49" s="283"/>
      <c r="CE49" s="283"/>
      <c r="CF49" s="283"/>
      <c r="CG49" s="283"/>
      <c r="CH49" s="283"/>
      <c r="CI49" s="283"/>
      <c r="CJ49" s="283"/>
      <c r="CK49" s="283"/>
      <c r="CL49" s="283"/>
      <c r="CM49" s="283"/>
      <c r="CN49" s="283"/>
      <c r="CO49" s="283"/>
      <c r="CP49" s="283"/>
      <c r="CQ49" s="283"/>
      <c r="CR49" s="283"/>
      <c r="CS49" s="283"/>
      <c r="CT49" s="283"/>
      <c r="CU49" s="283"/>
      <c r="CV49" s="283"/>
    </row>
    <row r="50" spans="1:100" s="253" customFormat="1" ht="15.75">
      <c r="A50" s="270" t="s">
        <v>30</v>
      </c>
      <c r="B50" s="266" t="s">
        <v>380</v>
      </c>
      <c r="C50" s="802">
        <f>IF(A50="No","",1-'RF model'!$C$14)</f>
      </c>
      <c r="D50" s="254"/>
      <c r="E50" s="255">
        <f>IF(A50="No","",0.6)</f>
      </c>
      <c r="F50" s="762" t="s">
        <v>17</v>
      </c>
      <c r="G50" s="256">
        <f>IF(A50="No","",IF(F50="Use Default",13.3*(VLOOKUP('Start Page'!$G$4,'RF Workings'!$E$3:$G$13,2)/'RF Workings'!$F$7),""))</f>
      </c>
      <c r="H50" s="762" t="s">
        <v>17</v>
      </c>
      <c r="I50" s="256">
        <f>IF(A50="No","",IF(H50="Use Default",0.7*(VLOOKUP('Start Page'!$G$4,'RF Workings'!$E$3:$G$13,2)/'RF Workings'!$F$7),""))</f>
      </c>
      <c r="J50" s="257" t="s">
        <v>17</v>
      </c>
      <c r="K50" s="801">
        <f>IF(A50="No","",IF(J50="Use Default",IF($F$1="Non-PTE",$AB$3,$AA$3),""))</f>
      </c>
      <c r="L50" s="258" t="s">
        <v>17</v>
      </c>
      <c r="M50" s="259">
        <f>IF(A50="No","",IF(L50="Use Default",IF($F$1="Non-PTE",$AB$4,$AA$4),""))</f>
      </c>
      <c r="N50" s="258" t="s">
        <v>17</v>
      </c>
      <c r="O50" s="800">
        <f>IF(A50="No","",IF(N50="Use Default",IF($F$1="Non-PTE",$AB$5,$AA$5),""))</f>
      </c>
      <c r="P50" s="258" t="s">
        <v>17</v>
      </c>
      <c r="Q50" s="801">
        <f>IF(A50="No","",(IF(P50="Use Default",IF($F$1="Non-PTE",$AB$6,$AA$6),"")))</f>
      </c>
      <c r="R50" s="260"/>
      <c r="S50" s="258" t="s">
        <v>17</v>
      </c>
      <c r="T50" s="303">
        <f>IF(A50="No","",IF(S50="Use Default",IF('MCC Model '!$F$1="Non-PTE",$AB$7,$AA$7),""))</f>
      </c>
      <c r="U50" s="255">
        <f>IF(A50="No","",0.66)</f>
      </c>
      <c r="V50" s="433">
        <f>IF(A50="Yes",(IF(BA50&lt;0,0,BA50)),"")</f>
      </c>
      <c r="W50" s="434">
        <f>IF(A50="Yes",V50*C50*D50,"")</f>
      </c>
      <c r="X50" s="275"/>
      <c r="Y50" s="278"/>
      <c r="Z50" s="278"/>
      <c r="AA50" s="278">
        <f>IF(F40="Non-PTE",AB47,AA47)</f>
        <v>6</v>
      </c>
      <c r="AB50" s="279" t="e">
        <f>IF(AND(N50="Use Default",P50="Use Default"),Q50/O50,IF(AND(N50="Use Local Value",P50="Use Default"),Q50/O51,IF(AND(N50="Use Default",P50="Use Local Value"),Q51/O50,IF(AND(N50="Use Local Value",P50="Use Local Value"),Q51/O51))))*IF($M50="",$M51,$M50)/IF($Q50="",Q51,$Q50)</f>
        <v>#VALUE!</v>
      </c>
      <c r="AC50" s="279" t="e">
        <f>AA50*AB50</f>
        <v>#VALUE!</v>
      </c>
      <c r="AD50" s="279" t="e">
        <f>1/IF(Q50="",Q51,Q50)</f>
        <v>#DIV/0!</v>
      </c>
      <c r="AE50" s="279" t="e">
        <f>AA50*((AC50+AD50)/AC50)^E50</f>
        <v>#VALUE!</v>
      </c>
      <c r="AF50" s="279" t="e">
        <f>AA50/((IF(K50="",K51,K50)/(IF(Q50="",Q51,Q50)*2)))</f>
        <v>#DIV/0!</v>
      </c>
      <c r="AG50" s="279" t="e">
        <f>AF50/2</f>
        <v>#DIV/0!</v>
      </c>
      <c r="AH50" s="279" t="e">
        <f>AE50/((IF(K50="",K51,K50)/(IF(Q50="",Q51,Q50)*2)))</f>
        <v>#VALUE!</v>
      </c>
      <c r="AI50" s="279" t="e">
        <f>AH50/2</f>
        <v>#VALUE!</v>
      </c>
      <c r="AJ50" s="279" t="e">
        <f>AI50-AG50</f>
        <v>#VALUE!</v>
      </c>
      <c r="AK50" s="280" t="e">
        <f>AJ50*IF(F50="Use Default",G50,G51)</f>
        <v>#VALUE!</v>
      </c>
      <c r="AL50" s="279" t="e">
        <f>AA50*IF(K50="",K51,K50)/((IF(K50="",K51,K50)/(IF(Q50="",Q51,Q50)*2)))</f>
        <v>#DIV/0!</v>
      </c>
      <c r="AM50" s="278" t="e">
        <f>AL50/2</f>
        <v>#DIV/0!</v>
      </c>
      <c r="AN50" s="279" t="e">
        <f>AE50*IF(K50="",K51,K50)/((IF(K50="",K51,K50)/(IF(Q50="",Q51,Q50)*2)))</f>
        <v>#VALUE!</v>
      </c>
      <c r="AO50" s="278" t="e">
        <f>AN50/2</f>
        <v>#VALUE!</v>
      </c>
      <c r="AP50" s="278" t="e">
        <f>AO50-AM50</f>
        <v>#VALUE!</v>
      </c>
      <c r="AQ50" s="280" t="e">
        <f>AP50*IF(H50="Use Default",I50,I51)</f>
        <v>#VALUE!</v>
      </c>
      <c r="AR50" s="280" t="e">
        <f>AQ50+AK50</f>
        <v>#VALUE!</v>
      </c>
      <c r="AS50" s="281" t="e">
        <f>(AE50-AA50)/AA50</f>
        <v>#VALUE!</v>
      </c>
      <c r="AT50" s="281" t="e">
        <f>AS50*U50</f>
        <v>#VALUE!</v>
      </c>
      <c r="AU50" s="282" t="e">
        <f>AC50*IF(Q50="",Q51,Q50)*2</f>
        <v>#VALUE!</v>
      </c>
      <c r="AV50" s="278" t="e">
        <f>AU50/2</f>
        <v>#VALUE!</v>
      </c>
      <c r="AW50" s="282" t="e">
        <f>AV50*IF(T50="",T51,T50)</f>
        <v>#VALUE!</v>
      </c>
      <c r="AX50" s="279" t="e">
        <f>AW50*AT50</f>
        <v>#VALUE!</v>
      </c>
      <c r="AY50" s="280" t="e">
        <f>AX50*R50</f>
        <v>#VALUE!</v>
      </c>
      <c r="AZ50" s="280" t="e">
        <f>AX50*'AC model'!$D$18</f>
        <v>#VALUE!</v>
      </c>
      <c r="BA50" s="280" t="e">
        <f>AR50-AY50+AZ50</f>
        <v>#VALUE!</v>
      </c>
      <c r="BB50" s="278"/>
      <c r="BC50" s="278"/>
      <c r="BD50" s="278"/>
      <c r="BE50" s="278"/>
      <c r="BF50" s="278"/>
      <c r="BG50" s="278"/>
      <c r="BH50" s="278"/>
      <c r="BI50" s="278"/>
      <c r="BJ50" s="278"/>
      <c r="BK50" s="278"/>
      <c r="BL50" s="278"/>
      <c r="BM50" s="278"/>
      <c r="BN50" s="278"/>
      <c r="BO50" s="278"/>
      <c r="BP50" s="278"/>
      <c r="BQ50" s="278"/>
      <c r="BR50" s="278"/>
      <c r="BS50" s="278"/>
      <c r="BT50" s="278"/>
      <c r="BU50" s="278"/>
      <c r="BV50" s="278"/>
      <c r="BW50" s="278"/>
      <c r="BX50" s="278"/>
      <c r="BY50" s="278"/>
      <c r="BZ50" s="278"/>
      <c r="CA50" s="278"/>
      <c r="CB50" s="278"/>
      <c r="CC50" s="278"/>
      <c r="CD50" s="278"/>
      <c r="CE50" s="278"/>
      <c r="CF50" s="278"/>
      <c r="CG50" s="278"/>
      <c r="CH50" s="278"/>
      <c r="CI50" s="278"/>
      <c r="CJ50" s="278"/>
      <c r="CK50" s="278"/>
      <c r="CL50" s="278"/>
      <c r="CM50" s="278"/>
      <c r="CN50" s="278"/>
      <c r="CO50" s="278"/>
      <c r="CP50" s="278"/>
      <c r="CQ50" s="278"/>
      <c r="CR50" s="278"/>
      <c r="CS50" s="278"/>
      <c r="CT50" s="278"/>
      <c r="CU50" s="278"/>
      <c r="CV50" s="278"/>
    </row>
    <row r="51" spans="1:100" s="231" customFormat="1" ht="15.75">
      <c r="A51" s="271"/>
      <c r="B51" s="267"/>
      <c r="C51" s="222"/>
      <c r="D51" s="222"/>
      <c r="E51" s="222"/>
      <c r="F51" s="224">
        <f>IF(F50="Use Local Value","Enter Local Value","")</f>
      </c>
      <c r="G51" s="763"/>
      <c r="H51" s="224">
        <f>IF(H50="Use Local Value","Enter Local Value","")</f>
      </c>
      <c r="I51" s="763"/>
      <c r="J51" s="224">
        <f>IF(J50="Use Local Value","Enter Local Value","")</f>
      </c>
      <c r="K51" s="225"/>
      <c r="L51" s="224">
        <f>IF(L50="Use Local Value","Enter Local Value","")</f>
      </c>
      <c r="M51" s="226"/>
      <c r="N51" s="224">
        <f>IF(N50="Use Local Value","Enter Local Value","")</f>
      </c>
      <c r="O51" s="226"/>
      <c r="P51" s="224">
        <f>IF(P50="Use Local Value","Enter Local Value","")</f>
      </c>
      <c r="Q51" s="226"/>
      <c r="R51" s="222"/>
      <c r="S51" s="224">
        <f>IF(S50="Use Local Value","Enter Local Value","")</f>
      </c>
      <c r="T51" s="304"/>
      <c r="U51" s="222"/>
      <c r="V51" s="222"/>
      <c r="W51" s="245"/>
      <c r="X51" s="245"/>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7"/>
      <c r="BH51" s="247"/>
      <c r="BI51" s="246"/>
      <c r="BJ51" s="246"/>
      <c r="BK51" s="246"/>
      <c r="BL51" s="246"/>
      <c r="BM51" s="246"/>
      <c r="BN51" s="246"/>
      <c r="BO51" s="246"/>
      <c r="BP51" s="246"/>
      <c r="BQ51" s="246"/>
      <c r="BR51" s="246"/>
      <c r="BS51" s="246"/>
      <c r="BT51" s="246"/>
      <c r="BU51" s="246"/>
      <c r="BV51" s="246"/>
      <c r="BW51" s="246"/>
      <c r="BX51" s="246"/>
      <c r="BY51" s="246"/>
      <c r="BZ51" s="246"/>
      <c r="CA51" s="246"/>
      <c r="CB51" s="246"/>
      <c r="CC51" s="246"/>
      <c r="CD51" s="246"/>
      <c r="CE51" s="246"/>
      <c r="CF51" s="246"/>
      <c r="CG51" s="246"/>
      <c r="CH51" s="246"/>
      <c r="CI51" s="246"/>
      <c r="CJ51" s="246"/>
      <c r="CK51" s="246"/>
      <c r="CL51" s="246"/>
      <c r="CM51" s="246"/>
      <c r="CN51" s="246"/>
      <c r="CO51" s="246"/>
      <c r="CP51" s="246"/>
      <c r="CQ51" s="246"/>
      <c r="CR51" s="246"/>
      <c r="CS51" s="246"/>
      <c r="CT51" s="246"/>
      <c r="CU51" s="246"/>
      <c r="CV51" s="246"/>
    </row>
    <row r="52" spans="1:100" s="248" customFormat="1" ht="17.25" customHeight="1" thickBot="1">
      <c r="A52" s="272"/>
      <c r="B52" s="268"/>
      <c r="C52" s="249"/>
      <c r="D52" s="249"/>
      <c r="E52" s="249"/>
      <c r="F52" s="249"/>
      <c r="G52" s="249"/>
      <c r="H52" s="249"/>
      <c r="I52" s="249"/>
      <c r="J52" s="250"/>
      <c r="K52" s="251"/>
      <c r="L52" s="250"/>
      <c r="M52" s="252"/>
      <c r="N52" s="250"/>
      <c r="O52" s="252"/>
      <c r="P52" s="250"/>
      <c r="Q52" s="252"/>
      <c r="R52" s="249"/>
      <c r="S52" s="250"/>
      <c r="T52" s="305"/>
      <c r="U52" s="249"/>
      <c r="V52" s="249"/>
      <c r="W52" s="249"/>
      <c r="X52" s="276"/>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4"/>
      <c r="BH52" s="284"/>
      <c r="BI52" s="283"/>
      <c r="BJ52" s="283"/>
      <c r="BK52" s="283"/>
      <c r="BL52" s="283"/>
      <c r="BM52" s="283"/>
      <c r="BN52" s="283"/>
      <c r="BO52" s="283"/>
      <c r="BP52" s="283"/>
      <c r="BQ52" s="283"/>
      <c r="BR52" s="283"/>
      <c r="BS52" s="283"/>
      <c r="BT52" s="283"/>
      <c r="BU52" s="283"/>
      <c r="BV52" s="283"/>
      <c r="BW52" s="283"/>
      <c r="BX52" s="283"/>
      <c r="BY52" s="283"/>
      <c r="BZ52" s="283"/>
      <c r="CA52" s="283"/>
      <c r="CB52" s="283"/>
      <c r="CC52" s="283"/>
      <c r="CD52" s="283"/>
      <c r="CE52" s="283"/>
      <c r="CF52" s="283"/>
      <c r="CG52" s="283"/>
      <c r="CH52" s="283"/>
      <c r="CI52" s="283"/>
      <c r="CJ52" s="283"/>
      <c r="CK52" s="283"/>
      <c r="CL52" s="283"/>
      <c r="CM52" s="283"/>
      <c r="CN52" s="283"/>
      <c r="CO52" s="283"/>
      <c r="CP52" s="283"/>
      <c r="CQ52" s="283"/>
      <c r="CR52" s="283"/>
      <c r="CS52" s="283"/>
      <c r="CT52" s="283"/>
      <c r="CU52" s="283"/>
      <c r="CV52" s="283"/>
    </row>
    <row r="53" spans="1:100" s="253" customFormat="1" ht="15.75">
      <c r="A53" s="270" t="s">
        <v>30</v>
      </c>
      <c r="B53" s="266" t="s">
        <v>380</v>
      </c>
      <c r="C53" s="802">
        <f>IF(A53="No","",1-'RF model'!$C$14)</f>
      </c>
      <c r="D53" s="254"/>
      <c r="E53" s="255">
        <f>IF(A53="No","",0.6)</f>
      </c>
      <c r="F53" s="762" t="s">
        <v>17</v>
      </c>
      <c r="G53" s="256">
        <f>IF(A53="No","",IF(F53="Use Default",13.3*(VLOOKUP('Start Page'!$G$4,'RF Workings'!$E$3:$G$13,2)/'RF Workings'!$F$7),""))</f>
      </c>
      <c r="H53" s="762" t="s">
        <v>17</v>
      </c>
      <c r="I53" s="256">
        <f>IF(A53="No","",IF(H53="Use Default",0.7*(VLOOKUP('Start Page'!$G$4,'RF Workings'!$E$3:$G$13,2)/'RF Workings'!$F$7),""))</f>
      </c>
      <c r="J53" s="257" t="s">
        <v>17</v>
      </c>
      <c r="K53" s="801">
        <f>IF(A53="No","",IF(J53="Use Default",IF($F$1="Non-PTE",$AB$3,$AA$3),""))</f>
      </c>
      <c r="L53" s="258" t="s">
        <v>17</v>
      </c>
      <c r="M53" s="259">
        <f>IF(A53="No","",IF(L53="Use Default",IF($F$1="Non-PTE",$AB$4,$AA$4),""))</f>
      </c>
      <c r="N53" s="258" t="s">
        <v>17</v>
      </c>
      <c r="O53" s="800">
        <f>IF(A53="No","",IF(N53="Use Default",IF($F$1="Non-PTE",$AB$5,$AA$5),""))</f>
      </c>
      <c r="P53" s="258" t="s">
        <v>17</v>
      </c>
      <c r="Q53" s="801">
        <f>IF(A53="No","",(IF(P53="Use Default",IF($F$1="Non-PTE",$AB$6,$AA$6),"")))</f>
      </c>
      <c r="R53" s="260"/>
      <c r="S53" s="258" t="s">
        <v>17</v>
      </c>
      <c r="T53" s="303">
        <f>IF(A53="No","",IF(S53="Use Default",IF('MCC Model '!$F$1="Non-PTE",$AB$7,$AA$7),""))</f>
      </c>
      <c r="U53" s="255">
        <f>IF(A53="No","",0.66)</f>
      </c>
      <c r="V53" s="433">
        <f>IF(A53="Yes",(IF(BA53&lt;0,0,BA53)),"")</f>
      </c>
      <c r="W53" s="434">
        <f>IF(A53="Yes",V53*C53*D53,"")</f>
      </c>
      <c r="X53" s="275"/>
      <c r="Y53" s="278"/>
      <c r="Z53" s="278"/>
      <c r="AA53" s="278">
        <f>IF(F43="Non-PTE",AB50,AA50)</f>
        <v>6</v>
      </c>
      <c r="AB53" s="279" t="e">
        <f>IF(AND(N53="Use Default",P53="Use Default"),Q53/O53,IF(AND(N53="Use Local Value",P53="Use Default"),Q53/O54,IF(AND(N53="Use Default",P53="Use Local Value"),Q54/O53,IF(AND(N53="Use Local Value",P53="Use Local Value"),Q54/O54))))*IF($M53="",$M54,$M53)/IF($Q53="",Q54,$Q53)</f>
        <v>#VALUE!</v>
      </c>
      <c r="AC53" s="279" t="e">
        <f>AA53*AB53</f>
        <v>#VALUE!</v>
      </c>
      <c r="AD53" s="279" t="e">
        <f>1/IF(Q53="",Q54,Q53)</f>
        <v>#DIV/0!</v>
      </c>
      <c r="AE53" s="279" t="e">
        <f>AA53*((AC53+AD53)/AC53)^E53</f>
        <v>#VALUE!</v>
      </c>
      <c r="AF53" s="279" t="e">
        <f>AA53/((IF(K53="",K54,K53)/(IF(Q53="",Q54,Q53)*2)))</f>
        <v>#DIV/0!</v>
      </c>
      <c r="AG53" s="279" t="e">
        <f>AF53/2</f>
        <v>#DIV/0!</v>
      </c>
      <c r="AH53" s="279" t="e">
        <f>AE53/((IF(K53="",K54,K53)/(IF(Q53="",Q54,Q53)*2)))</f>
        <v>#VALUE!</v>
      </c>
      <c r="AI53" s="279" t="e">
        <f>AH53/2</f>
        <v>#VALUE!</v>
      </c>
      <c r="AJ53" s="279" t="e">
        <f>AI53-AG53</f>
        <v>#VALUE!</v>
      </c>
      <c r="AK53" s="280" t="e">
        <f>AJ53*IF(F53="Use Default",G53,G54)</f>
        <v>#VALUE!</v>
      </c>
      <c r="AL53" s="279" t="e">
        <f>AA53*IF(K53="",K54,K53)/((IF(K53="",K54,K53)/(IF(Q53="",Q54,Q53)*2)))</f>
        <v>#DIV/0!</v>
      </c>
      <c r="AM53" s="278" t="e">
        <f>AL53/2</f>
        <v>#DIV/0!</v>
      </c>
      <c r="AN53" s="279" t="e">
        <f>AE53*IF(K53="",K54,K53)/((IF(K53="",K54,K53)/(IF(Q53="",Q54,Q53)*2)))</f>
        <v>#VALUE!</v>
      </c>
      <c r="AO53" s="278" t="e">
        <f>AN53/2</f>
        <v>#VALUE!</v>
      </c>
      <c r="AP53" s="278" t="e">
        <f>AO53-AM53</f>
        <v>#VALUE!</v>
      </c>
      <c r="AQ53" s="280" t="e">
        <f>AP53*IF(H53="Use Default",I53,I54)</f>
        <v>#VALUE!</v>
      </c>
      <c r="AR53" s="280" t="e">
        <f>AQ53+AK53</f>
        <v>#VALUE!</v>
      </c>
      <c r="AS53" s="281" t="e">
        <f>(AE53-AA53)/AA53</f>
        <v>#VALUE!</v>
      </c>
      <c r="AT53" s="281" t="e">
        <f>AS53*U53</f>
        <v>#VALUE!</v>
      </c>
      <c r="AU53" s="282" t="e">
        <f>AC53*IF(Q53="",Q54,Q53)*2</f>
        <v>#VALUE!</v>
      </c>
      <c r="AV53" s="278" t="e">
        <f>AU53/2</f>
        <v>#VALUE!</v>
      </c>
      <c r="AW53" s="282" t="e">
        <f>AV53*IF(T53="",T54,T53)</f>
        <v>#VALUE!</v>
      </c>
      <c r="AX53" s="279" t="e">
        <f>AW53*AT53</f>
        <v>#VALUE!</v>
      </c>
      <c r="AY53" s="280" t="e">
        <f>AX53*R53</f>
        <v>#VALUE!</v>
      </c>
      <c r="AZ53" s="280" t="e">
        <f>AX53*'AC model'!$D$18</f>
        <v>#VALUE!</v>
      </c>
      <c r="BA53" s="280" t="e">
        <f>AR53-AY53+AZ53</f>
        <v>#VALUE!</v>
      </c>
      <c r="BB53" s="278"/>
      <c r="BC53" s="278"/>
      <c r="BD53" s="278"/>
      <c r="BE53" s="278"/>
      <c r="BF53" s="278"/>
      <c r="BG53" s="278"/>
      <c r="BH53" s="278"/>
      <c r="BI53" s="278"/>
      <c r="BJ53" s="278"/>
      <c r="BK53" s="278"/>
      <c r="BL53" s="278"/>
      <c r="BM53" s="278"/>
      <c r="BN53" s="278"/>
      <c r="BO53" s="278"/>
      <c r="BP53" s="278"/>
      <c r="BQ53" s="278"/>
      <c r="BR53" s="278"/>
      <c r="BS53" s="278"/>
      <c r="BT53" s="278"/>
      <c r="BU53" s="278"/>
      <c r="BV53" s="278"/>
      <c r="BW53" s="278"/>
      <c r="BX53" s="278"/>
      <c r="BY53" s="278"/>
      <c r="BZ53" s="278"/>
      <c r="CA53" s="278"/>
      <c r="CB53" s="278"/>
      <c r="CC53" s="278"/>
      <c r="CD53" s="278"/>
      <c r="CE53" s="278"/>
      <c r="CF53" s="278"/>
      <c r="CG53" s="278"/>
      <c r="CH53" s="278"/>
      <c r="CI53" s="278"/>
      <c r="CJ53" s="278"/>
      <c r="CK53" s="278"/>
      <c r="CL53" s="278"/>
      <c r="CM53" s="278"/>
      <c r="CN53" s="278"/>
      <c r="CO53" s="278"/>
      <c r="CP53" s="278"/>
      <c r="CQ53" s="278"/>
      <c r="CR53" s="278"/>
      <c r="CS53" s="278"/>
      <c r="CT53" s="278"/>
      <c r="CU53" s="278"/>
      <c r="CV53" s="278"/>
    </row>
    <row r="54" spans="1:100" s="231" customFormat="1" ht="15.75">
      <c r="A54" s="271"/>
      <c r="B54" s="267"/>
      <c r="C54" s="222"/>
      <c r="D54" s="222"/>
      <c r="E54" s="222"/>
      <c r="F54" s="224">
        <f>IF(F53="Use Local Value","Enter Local Value","")</f>
      </c>
      <c r="G54" s="763"/>
      <c r="H54" s="224">
        <f>IF(H53="Use Local Value","Enter Local Value","")</f>
      </c>
      <c r="I54" s="763"/>
      <c r="J54" s="224">
        <f>IF(J53="Use Local Value","Enter Local Value","")</f>
      </c>
      <c r="K54" s="225"/>
      <c r="L54" s="224">
        <f>IF(L53="Use Local Value","Enter Local Value","")</f>
      </c>
      <c r="M54" s="226"/>
      <c r="N54" s="224">
        <f>IF(N53="Use Local Value","Enter Local Value","")</f>
      </c>
      <c r="O54" s="226"/>
      <c r="P54" s="224">
        <f>IF(P53="Use Local Value","Enter Local Value","")</f>
      </c>
      <c r="Q54" s="226"/>
      <c r="R54" s="222"/>
      <c r="S54" s="224">
        <f>IF(S53="Use Local Value","Enter Local Value","")</f>
      </c>
      <c r="T54" s="304"/>
      <c r="U54" s="222"/>
      <c r="V54" s="222"/>
      <c r="W54" s="245"/>
      <c r="X54" s="245"/>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7"/>
      <c r="BH54" s="247"/>
      <c r="BI54" s="246"/>
      <c r="BJ54" s="246"/>
      <c r="BK54" s="246"/>
      <c r="BL54" s="246"/>
      <c r="BM54" s="246"/>
      <c r="BN54" s="246"/>
      <c r="BO54" s="246"/>
      <c r="BP54" s="246"/>
      <c r="BQ54" s="246"/>
      <c r="BR54" s="246"/>
      <c r="BS54" s="246"/>
      <c r="BT54" s="246"/>
      <c r="BU54" s="246"/>
      <c r="BV54" s="246"/>
      <c r="BW54" s="246"/>
      <c r="BX54" s="246"/>
      <c r="BY54" s="246"/>
      <c r="BZ54" s="246"/>
      <c r="CA54" s="246"/>
      <c r="CB54" s="246"/>
      <c r="CC54" s="246"/>
      <c r="CD54" s="246"/>
      <c r="CE54" s="246"/>
      <c r="CF54" s="246"/>
      <c r="CG54" s="246"/>
      <c r="CH54" s="246"/>
      <c r="CI54" s="246"/>
      <c r="CJ54" s="246"/>
      <c r="CK54" s="246"/>
      <c r="CL54" s="246"/>
      <c r="CM54" s="246"/>
      <c r="CN54" s="246"/>
      <c r="CO54" s="246"/>
      <c r="CP54" s="246"/>
      <c r="CQ54" s="246"/>
      <c r="CR54" s="246"/>
      <c r="CS54" s="246"/>
      <c r="CT54" s="246"/>
      <c r="CU54" s="246"/>
      <c r="CV54" s="246"/>
    </row>
    <row r="55" spans="1:100" s="248" customFormat="1" ht="17.25" customHeight="1" thickBot="1">
      <c r="A55" s="272"/>
      <c r="B55" s="268"/>
      <c r="C55" s="249"/>
      <c r="D55" s="249"/>
      <c r="E55" s="249"/>
      <c r="F55" s="249"/>
      <c r="G55" s="249"/>
      <c r="H55" s="249"/>
      <c r="I55" s="249"/>
      <c r="J55" s="250"/>
      <c r="K55" s="251"/>
      <c r="L55" s="250"/>
      <c r="M55" s="252"/>
      <c r="N55" s="250"/>
      <c r="O55" s="252"/>
      <c r="P55" s="250"/>
      <c r="Q55" s="252"/>
      <c r="R55" s="249"/>
      <c r="S55" s="250"/>
      <c r="T55" s="305"/>
      <c r="U55" s="249"/>
      <c r="V55" s="249"/>
      <c r="W55" s="249"/>
      <c r="X55" s="276"/>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4"/>
      <c r="BH55" s="284"/>
      <c r="BI55" s="283"/>
      <c r="BJ55" s="283"/>
      <c r="BK55" s="283"/>
      <c r="BL55" s="283"/>
      <c r="BM55" s="283"/>
      <c r="BN55" s="283"/>
      <c r="BO55" s="283"/>
      <c r="BP55" s="283"/>
      <c r="BQ55" s="283"/>
      <c r="BR55" s="283"/>
      <c r="BS55" s="283"/>
      <c r="BT55" s="283"/>
      <c r="BU55" s="283"/>
      <c r="BV55" s="283"/>
      <c r="BW55" s="283"/>
      <c r="BX55" s="283"/>
      <c r="BY55" s="283"/>
      <c r="BZ55" s="283"/>
      <c r="CA55" s="283"/>
      <c r="CB55" s="283"/>
      <c r="CC55" s="283"/>
      <c r="CD55" s="283"/>
      <c r="CE55" s="283"/>
      <c r="CF55" s="283"/>
      <c r="CG55" s="283"/>
      <c r="CH55" s="283"/>
      <c r="CI55" s="283"/>
      <c r="CJ55" s="283"/>
      <c r="CK55" s="283"/>
      <c r="CL55" s="283"/>
      <c r="CM55" s="283"/>
      <c r="CN55" s="283"/>
      <c r="CO55" s="283"/>
      <c r="CP55" s="283"/>
      <c r="CQ55" s="283"/>
      <c r="CR55" s="283"/>
      <c r="CS55" s="283"/>
      <c r="CT55" s="283"/>
      <c r="CU55" s="283"/>
      <c r="CV55" s="283"/>
    </row>
    <row r="56" spans="1:100" s="253" customFormat="1" ht="15.75">
      <c r="A56" s="270" t="s">
        <v>30</v>
      </c>
      <c r="B56" s="266" t="s">
        <v>380</v>
      </c>
      <c r="C56" s="802">
        <f>IF(A56="No","",1-'RF model'!$C$14)</f>
      </c>
      <c r="D56" s="254"/>
      <c r="E56" s="255">
        <f>IF(A56="No","",0.6)</f>
      </c>
      <c r="F56" s="762" t="s">
        <v>17</v>
      </c>
      <c r="G56" s="256">
        <f>IF(A56="No","",IF(F56="Use Default",13.3*(VLOOKUP('Start Page'!$G$4,'RF Workings'!$E$3:$G$13,2)/'RF Workings'!$F$7),""))</f>
      </c>
      <c r="H56" s="762" t="s">
        <v>17</v>
      </c>
      <c r="I56" s="256">
        <f>IF(A56="No","",IF(H56="Use Default",0.7*(VLOOKUP('Start Page'!$G$4,'RF Workings'!$E$3:$G$13,2)/'RF Workings'!$F$7),""))</f>
      </c>
      <c r="J56" s="257" t="s">
        <v>17</v>
      </c>
      <c r="K56" s="801">
        <f>IF(A56="No","",IF(J56="Use Default",IF($F$1="Non-PTE",$AB$3,$AA$3),""))</f>
      </c>
      <c r="L56" s="258" t="s">
        <v>17</v>
      </c>
      <c r="M56" s="259">
        <f>IF(A56="No","",IF(L56="Use Default",IF($F$1="Non-PTE",$AB$4,$AA$4),""))</f>
      </c>
      <c r="N56" s="258" t="s">
        <v>17</v>
      </c>
      <c r="O56" s="800">
        <f>IF(A56="No","",IF(N56="Use Default",IF($F$1="Non-PTE",$AB$5,$AA$5),""))</f>
      </c>
      <c r="P56" s="258" t="s">
        <v>17</v>
      </c>
      <c r="Q56" s="801">
        <f>IF(A56="No","",(IF(P56="Use Default",IF($F$1="Non-PTE",$AB$6,$AA$6),"")))</f>
      </c>
      <c r="R56" s="260"/>
      <c r="S56" s="258" t="s">
        <v>17</v>
      </c>
      <c r="T56" s="303">
        <f>IF(A56="No","",IF(S56="Use Default",IF('MCC Model '!$F$1="Non-PTE",$AB$7,$AA$7),""))</f>
      </c>
      <c r="U56" s="255">
        <f>IF(A56="No","",0.66)</f>
      </c>
      <c r="V56" s="433">
        <f>IF(A56="Yes",(IF(BA56&lt;0,0,BA56)),"")</f>
      </c>
      <c r="W56" s="434">
        <f>IF(A56="Yes",V56*C56*D56,"")</f>
      </c>
      <c r="X56" s="275"/>
      <c r="Y56" s="278"/>
      <c r="Z56" s="278"/>
      <c r="AA56" s="278">
        <f>IF(F46="Non-PTE",AB53,AA53)</f>
        <v>6</v>
      </c>
      <c r="AB56" s="279" t="e">
        <f>IF(AND(N56="Use Default",P56="Use Default"),Q56/O56,IF(AND(N56="Use Local Value",P56="Use Default"),Q56/O57,IF(AND(N56="Use Default",P56="Use Local Value"),Q57/O56,IF(AND(N56="Use Local Value",P56="Use Local Value"),Q57/O57))))*IF($M56="",$M57,$M56)/IF($Q56="",Q57,$Q56)</f>
        <v>#VALUE!</v>
      </c>
      <c r="AC56" s="279" t="e">
        <f>AA56*AB56</f>
        <v>#VALUE!</v>
      </c>
      <c r="AD56" s="279" t="e">
        <f>1/IF(Q56="",Q57,Q56)</f>
        <v>#DIV/0!</v>
      </c>
      <c r="AE56" s="279" t="e">
        <f>AA56*((AC56+AD56)/AC56)^E56</f>
        <v>#VALUE!</v>
      </c>
      <c r="AF56" s="279" t="e">
        <f>AA56/((IF(K56="",K57,K56)/(IF(Q56="",Q57,Q56)*2)))</f>
        <v>#DIV/0!</v>
      </c>
      <c r="AG56" s="279" t="e">
        <f>AF56/2</f>
        <v>#DIV/0!</v>
      </c>
      <c r="AH56" s="279" t="e">
        <f>AE56/((IF(K56="",K57,K56)/(IF(Q56="",Q57,Q56)*2)))</f>
        <v>#VALUE!</v>
      </c>
      <c r="AI56" s="279" t="e">
        <f>AH56/2</f>
        <v>#VALUE!</v>
      </c>
      <c r="AJ56" s="279" t="e">
        <f>AI56-AG56</f>
        <v>#VALUE!</v>
      </c>
      <c r="AK56" s="280" t="e">
        <f>AJ56*IF(F56="Use Default",G56,G57)</f>
        <v>#VALUE!</v>
      </c>
      <c r="AL56" s="279" t="e">
        <f>AA56*IF(K56="",K57,K56)/((IF(K56="",K57,K56)/(IF(Q56="",Q57,Q56)*2)))</f>
        <v>#DIV/0!</v>
      </c>
      <c r="AM56" s="278" t="e">
        <f>AL56/2</f>
        <v>#DIV/0!</v>
      </c>
      <c r="AN56" s="279" t="e">
        <f>AE56*IF(K56="",K57,K56)/((IF(K56="",K57,K56)/(IF(Q56="",Q57,Q56)*2)))</f>
        <v>#VALUE!</v>
      </c>
      <c r="AO56" s="278" t="e">
        <f>AN56/2</f>
        <v>#VALUE!</v>
      </c>
      <c r="AP56" s="278" t="e">
        <f>AO56-AM56</f>
        <v>#VALUE!</v>
      </c>
      <c r="AQ56" s="280" t="e">
        <f>AP56*IF(H56="Use Default",I56,I57)</f>
        <v>#VALUE!</v>
      </c>
      <c r="AR56" s="280" t="e">
        <f>AQ56+AK56</f>
        <v>#VALUE!</v>
      </c>
      <c r="AS56" s="281" t="e">
        <f>(AE56-AA56)/AA56</f>
        <v>#VALUE!</v>
      </c>
      <c r="AT56" s="281" t="e">
        <f>AS56*U56</f>
        <v>#VALUE!</v>
      </c>
      <c r="AU56" s="282" t="e">
        <f>AC56*IF(Q56="",Q57,Q56)*2</f>
        <v>#VALUE!</v>
      </c>
      <c r="AV56" s="278" t="e">
        <f>AU56/2</f>
        <v>#VALUE!</v>
      </c>
      <c r="AW56" s="282" t="e">
        <f>AV56*IF(T56="",T57,T56)</f>
        <v>#VALUE!</v>
      </c>
      <c r="AX56" s="279" t="e">
        <f>AW56*AT56</f>
        <v>#VALUE!</v>
      </c>
      <c r="AY56" s="280" t="e">
        <f>AX56*R56</f>
        <v>#VALUE!</v>
      </c>
      <c r="AZ56" s="280" t="e">
        <f>AX56*'AC model'!$D$18</f>
        <v>#VALUE!</v>
      </c>
      <c r="BA56" s="280" t="e">
        <f>AR56-AY56+AZ56</f>
        <v>#VALUE!</v>
      </c>
      <c r="BB56" s="278"/>
      <c r="BC56" s="278"/>
      <c r="BD56" s="278"/>
      <c r="BE56" s="278"/>
      <c r="BF56" s="278"/>
      <c r="BG56" s="278"/>
      <c r="BH56" s="278"/>
      <c r="BI56" s="278"/>
      <c r="BJ56" s="278"/>
      <c r="BK56" s="278"/>
      <c r="BL56" s="278"/>
      <c r="BM56" s="278"/>
      <c r="BN56" s="278"/>
      <c r="BO56" s="278"/>
      <c r="BP56" s="278"/>
      <c r="BQ56" s="278"/>
      <c r="BR56" s="278"/>
      <c r="BS56" s="278"/>
      <c r="BT56" s="278"/>
      <c r="BU56" s="278"/>
      <c r="BV56" s="278"/>
      <c r="BW56" s="278"/>
      <c r="BX56" s="278"/>
      <c r="BY56" s="278"/>
      <c r="BZ56" s="278"/>
      <c r="CA56" s="278"/>
      <c r="CB56" s="278"/>
      <c r="CC56" s="278"/>
      <c r="CD56" s="278"/>
      <c r="CE56" s="278"/>
      <c r="CF56" s="278"/>
      <c r="CG56" s="278"/>
      <c r="CH56" s="278"/>
      <c r="CI56" s="278"/>
      <c r="CJ56" s="278"/>
      <c r="CK56" s="278"/>
      <c r="CL56" s="278"/>
      <c r="CM56" s="278"/>
      <c r="CN56" s="278"/>
      <c r="CO56" s="278"/>
      <c r="CP56" s="278"/>
      <c r="CQ56" s="278"/>
      <c r="CR56" s="278"/>
      <c r="CS56" s="278"/>
      <c r="CT56" s="278"/>
      <c r="CU56" s="278"/>
      <c r="CV56" s="278"/>
    </row>
    <row r="57" spans="1:100" s="231" customFormat="1" ht="15.75">
      <c r="A57" s="271"/>
      <c r="B57" s="267"/>
      <c r="C57" s="222"/>
      <c r="D57" s="222"/>
      <c r="E57" s="222"/>
      <c r="F57" s="224">
        <f>IF(F56="Use Local Value","Enter Local Value","")</f>
      </c>
      <c r="G57" s="763"/>
      <c r="H57" s="224">
        <f>IF(H56="Use Local Value","Enter Local Value","")</f>
      </c>
      <c r="I57" s="763"/>
      <c r="J57" s="224">
        <f>IF(J56="Use Local Value","Enter Local Value","")</f>
      </c>
      <c r="K57" s="225"/>
      <c r="L57" s="224">
        <f>IF(L56="Use Local Value","Enter Local Value","")</f>
      </c>
      <c r="M57" s="226"/>
      <c r="N57" s="224">
        <f>IF(N56="Use Local Value","Enter Local Value","")</f>
      </c>
      <c r="O57" s="226"/>
      <c r="P57" s="224">
        <f>IF(P56="Use Local Value","Enter Local Value","")</f>
      </c>
      <c r="Q57" s="226"/>
      <c r="R57" s="222"/>
      <c r="S57" s="224">
        <f>IF(S56="Use Local Value","Enter Local Value","")</f>
      </c>
      <c r="T57" s="304"/>
      <c r="U57" s="222"/>
      <c r="V57" s="222"/>
      <c r="W57" s="245"/>
      <c r="X57" s="245"/>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7"/>
      <c r="BH57" s="247"/>
      <c r="BI57" s="246"/>
      <c r="BJ57" s="246"/>
      <c r="BK57" s="246"/>
      <c r="BL57" s="246"/>
      <c r="BM57" s="246"/>
      <c r="BN57" s="246"/>
      <c r="BO57" s="246"/>
      <c r="BP57" s="246"/>
      <c r="BQ57" s="246"/>
      <c r="BR57" s="246"/>
      <c r="BS57" s="246"/>
      <c r="BT57" s="246"/>
      <c r="BU57" s="246"/>
      <c r="BV57" s="246"/>
      <c r="BW57" s="246"/>
      <c r="BX57" s="246"/>
      <c r="BY57" s="246"/>
      <c r="BZ57" s="246"/>
      <c r="CA57" s="246"/>
      <c r="CB57" s="246"/>
      <c r="CC57" s="246"/>
      <c r="CD57" s="246"/>
      <c r="CE57" s="246"/>
      <c r="CF57" s="246"/>
      <c r="CG57" s="246"/>
      <c r="CH57" s="246"/>
      <c r="CI57" s="246"/>
      <c r="CJ57" s="246"/>
      <c r="CK57" s="246"/>
      <c r="CL57" s="246"/>
      <c r="CM57" s="246"/>
      <c r="CN57" s="246"/>
      <c r="CO57" s="246"/>
      <c r="CP57" s="246"/>
      <c r="CQ57" s="246"/>
      <c r="CR57" s="246"/>
      <c r="CS57" s="246"/>
      <c r="CT57" s="246"/>
      <c r="CU57" s="246"/>
      <c r="CV57" s="246"/>
    </row>
    <row r="58" spans="1:100" s="248" customFormat="1" ht="17.25" customHeight="1" thickBot="1">
      <c r="A58" s="272"/>
      <c r="B58" s="268"/>
      <c r="C58" s="249"/>
      <c r="D58" s="249"/>
      <c r="E58" s="249"/>
      <c r="F58" s="249"/>
      <c r="G58" s="249"/>
      <c r="H58" s="249"/>
      <c r="I58" s="249"/>
      <c r="J58" s="250"/>
      <c r="K58" s="251"/>
      <c r="L58" s="250"/>
      <c r="M58" s="252"/>
      <c r="N58" s="250"/>
      <c r="O58" s="252"/>
      <c r="P58" s="250"/>
      <c r="Q58" s="252"/>
      <c r="R58" s="249"/>
      <c r="S58" s="250"/>
      <c r="T58" s="305"/>
      <c r="U58" s="249"/>
      <c r="V58" s="249"/>
      <c r="W58" s="249"/>
      <c r="X58" s="276"/>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4"/>
      <c r="BH58" s="284"/>
      <c r="BI58" s="283"/>
      <c r="BJ58" s="283"/>
      <c r="BK58" s="283"/>
      <c r="BL58" s="283"/>
      <c r="BM58" s="283"/>
      <c r="BN58" s="283"/>
      <c r="BO58" s="283"/>
      <c r="BP58" s="283"/>
      <c r="BQ58" s="283"/>
      <c r="BR58" s="283"/>
      <c r="BS58" s="283"/>
      <c r="BT58" s="283"/>
      <c r="BU58" s="283"/>
      <c r="BV58" s="283"/>
      <c r="BW58" s="283"/>
      <c r="BX58" s="283"/>
      <c r="BY58" s="283"/>
      <c r="BZ58" s="283"/>
      <c r="CA58" s="283"/>
      <c r="CB58" s="283"/>
      <c r="CC58" s="283"/>
      <c r="CD58" s="283"/>
      <c r="CE58" s="283"/>
      <c r="CF58" s="283"/>
      <c r="CG58" s="283"/>
      <c r="CH58" s="283"/>
      <c r="CI58" s="283"/>
      <c r="CJ58" s="283"/>
      <c r="CK58" s="283"/>
      <c r="CL58" s="283"/>
      <c r="CM58" s="283"/>
      <c r="CN58" s="283"/>
      <c r="CO58" s="283"/>
      <c r="CP58" s="283"/>
      <c r="CQ58" s="283"/>
      <c r="CR58" s="283"/>
      <c r="CS58" s="283"/>
      <c r="CT58" s="283"/>
      <c r="CU58" s="283"/>
      <c r="CV58" s="283"/>
    </row>
    <row r="59" spans="1:100" s="253" customFormat="1" ht="15.75">
      <c r="A59" s="270" t="s">
        <v>30</v>
      </c>
      <c r="B59" s="266" t="s">
        <v>380</v>
      </c>
      <c r="C59" s="802">
        <f>IF(A59="No","",1-'RF model'!$C$14)</f>
      </c>
      <c r="D59" s="254"/>
      <c r="E59" s="255">
        <f>IF(A59="No","",0.6)</f>
      </c>
      <c r="F59" s="762" t="s">
        <v>17</v>
      </c>
      <c r="G59" s="256">
        <f>IF(A59="No","",IF(F59="Use Default",13.3*(VLOOKUP('Start Page'!$G$4,'RF Workings'!$E$3:$G$13,2)/'RF Workings'!$F$7),""))</f>
      </c>
      <c r="H59" s="762" t="s">
        <v>17</v>
      </c>
      <c r="I59" s="256">
        <f>IF(A59="No","",IF(H59="Use Default",0.7*(VLOOKUP('Start Page'!$G$4,'RF Workings'!$E$3:$G$13,2)/'RF Workings'!$F$7),""))</f>
      </c>
      <c r="J59" s="257" t="s">
        <v>17</v>
      </c>
      <c r="K59" s="801">
        <f>IF(A59="No","",IF(J59="Use Default",IF($F$1="Non-PTE",$AB$3,$AA$3),""))</f>
      </c>
      <c r="L59" s="258" t="s">
        <v>17</v>
      </c>
      <c r="M59" s="259">
        <f>IF(A59="No","",IF(L59="Use Default",IF($F$1="Non-PTE",$AB$4,$AA$4),""))</f>
      </c>
      <c r="N59" s="258" t="s">
        <v>17</v>
      </c>
      <c r="O59" s="800">
        <f>IF(A59="No","",IF(N59="Use Default",IF($F$1="Non-PTE",$AB$5,$AA$5),""))</f>
      </c>
      <c r="P59" s="258" t="s">
        <v>17</v>
      </c>
      <c r="Q59" s="801">
        <f>IF(A59="No","",(IF(P59="Use Default",IF($F$1="Non-PTE",$AB$6,$AA$6),"")))</f>
      </c>
      <c r="R59" s="260"/>
      <c r="S59" s="258" t="s">
        <v>17</v>
      </c>
      <c r="T59" s="303">
        <f>IF(A59="No","",IF(S59="Use Default",IF('MCC Model '!$F$1="Non-PTE",$AB$7,$AA$7),""))</f>
      </c>
      <c r="U59" s="255">
        <f>IF(A59="No","",0.66)</f>
      </c>
      <c r="V59" s="433">
        <f>IF(A59="Yes",(IF(BA59&lt;0,0,BA59)),"")</f>
      </c>
      <c r="W59" s="434">
        <f>IF(A59="Yes",V59*C59*D59,"")</f>
      </c>
      <c r="X59" s="275"/>
      <c r="Y59" s="278"/>
      <c r="Z59" s="278"/>
      <c r="AA59" s="278">
        <f>IF(F49="Non-PTE",AB56,AA56)</f>
        <v>6</v>
      </c>
      <c r="AB59" s="279" t="e">
        <f>IF(AND(N59="Use Default",P59="Use Default"),Q59/O59,IF(AND(N59="Use Local Value",P59="Use Default"),Q59/O60,IF(AND(N59="Use Default",P59="Use Local Value"),Q60/O59,IF(AND(N59="Use Local Value",P59="Use Local Value"),Q60/O60))))*IF($M59="",$M60,$M59)/IF($Q59="",Q60,$Q59)</f>
        <v>#VALUE!</v>
      </c>
      <c r="AC59" s="279" t="e">
        <f>AA59*AB59</f>
        <v>#VALUE!</v>
      </c>
      <c r="AD59" s="279" t="e">
        <f>1/IF(Q59="",Q60,Q59)</f>
        <v>#DIV/0!</v>
      </c>
      <c r="AE59" s="279" t="e">
        <f>AA59*((AC59+AD59)/AC59)^E59</f>
        <v>#VALUE!</v>
      </c>
      <c r="AF59" s="279" t="e">
        <f>AA59/((IF(K59="",K60,K59)/(IF(Q59="",Q60,Q59)*2)))</f>
        <v>#DIV/0!</v>
      </c>
      <c r="AG59" s="279" t="e">
        <f>AF59/2</f>
        <v>#DIV/0!</v>
      </c>
      <c r="AH59" s="279" t="e">
        <f>AE59/((IF(K59="",K60,K59)/(IF(Q59="",Q60,Q59)*2)))</f>
        <v>#VALUE!</v>
      </c>
      <c r="AI59" s="279" t="e">
        <f>AH59/2</f>
        <v>#VALUE!</v>
      </c>
      <c r="AJ59" s="279" t="e">
        <f>AI59-AG59</f>
        <v>#VALUE!</v>
      </c>
      <c r="AK59" s="280" t="e">
        <f>AJ59*IF(F59="Use Default",G59,G60)</f>
        <v>#VALUE!</v>
      </c>
      <c r="AL59" s="279" t="e">
        <f>AA59*IF(K59="",K60,K59)/((IF(K59="",K60,K59)/(IF(Q59="",Q60,Q59)*2)))</f>
        <v>#DIV/0!</v>
      </c>
      <c r="AM59" s="278" t="e">
        <f>AL59/2</f>
        <v>#DIV/0!</v>
      </c>
      <c r="AN59" s="279" t="e">
        <f>AE59*IF(K59="",K60,K59)/((IF(K59="",K60,K59)/(IF(Q59="",Q60,Q59)*2)))</f>
        <v>#VALUE!</v>
      </c>
      <c r="AO59" s="278" t="e">
        <f>AN59/2</f>
        <v>#VALUE!</v>
      </c>
      <c r="AP59" s="278" t="e">
        <f>AO59-AM59</f>
        <v>#VALUE!</v>
      </c>
      <c r="AQ59" s="280" t="e">
        <f>AP59*IF(H59="Use Default",I59,I60)</f>
        <v>#VALUE!</v>
      </c>
      <c r="AR59" s="280" t="e">
        <f>AQ59+AK59</f>
        <v>#VALUE!</v>
      </c>
      <c r="AS59" s="281" t="e">
        <f>(AE59-AA59)/AA59</f>
        <v>#VALUE!</v>
      </c>
      <c r="AT59" s="281" t="e">
        <f>AS59*U59</f>
        <v>#VALUE!</v>
      </c>
      <c r="AU59" s="282" t="e">
        <f>AC59*IF(Q59="",Q60,Q59)*2</f>
        <v>#VALUE!</v>
      </c>
      <c r="AV59" s="278" t="e">
        <f>AU59/2</f>
        <v>#VALUE!</v>
      </c>
      <c r="AW59" s="282" t="e">
        <f>AV59*IF(T59="",T60,T59)</f>
        <v>#VALUE!</v>
      </c>
      <c r="AX59" s="279" t="e">
        <f>AW59*AT59</f>
        <v>#VALUE!</v>
      </c>
      <c r="AY59" s="280" t="e">
        <f>AX59*R59</f>
        <v>#VALUE!</v>
      </c>
      <c r="AZ59" s="280" t="e">
        <f>AX59*'AC model'!$D$18</f>
        <v>#VALUE!</v>
      </c>
      <c r="BA59" s="280" t="e">
        <f>AR59-AY59+AZ59</f>
        <v>#VALUE!</v>
      </c>
      <c r="BB59" s="278"/>
      <c r="BC59" s="278"/>
      <c r="BD59" s="278"/>
      <c r="BE59" s="278"/>
      <c r="BF59" s="278"/>
      <c r="BG59" s="278"/>
      <c r="BH59" s="278"/>
      <c r="BI59" s="278"/>
      <c r="BJ59" s="278"/>
      <c r="BK59" s="278"/>
      <c r="BL59" s="278"/>
      <c r="BM59" s="278"/>
      <c r="BN59" s="278"/>
      <c r="BO59" s="278"/>
      <c r="BP59" s="278"/>
      <c r="BQ59" s="278"/>
      <c r="BR59" s="278"/>
      <c r="BS59" s="278"/>
      <c r="BT59" s="278"/>
      <c r="BU59" s="278"/>
      <c r="BV59" s="278"/>
      <c r="BW59" s="278"/>
      <c r="BX59" s="278"/>
      <c r="BY59" s="278"/>
      <c r="BZ59" s="278"/>
      <c r="CA59" s="278"/>
      <c r="CB59" s="278"/>
      <c r="CC59" s="278"/>
      <c r="CD59" s="278"/>
      <c r="CE59" s="278"/>
      <c r="CF59" s="278"/>
      <c r="CG59" s="278"/>
      <c r="CH59" s="278"/>
      <c r="CI59" s="278"/>
      <c r="CJ59" s="278"/>
      <c r="CK59" s="278"/>
      <c r="CL59" s="278"/>
      <c r="CM59" s="278"/>
      <c r="CN59" s="278"/>
      <c r="CO59" s="278"/>
      <c r="CP59" s="278"/>
      <c r="CQ59" s="278"/>
      <c r="CR59" s="278"/>
      <c r="CS59" s="278"/>
      <c r="CT59" s="278"/>
      <c r="CU59" s="278"/>
      <c r="CV59" s="278"/>
    </row>
    <row r="60" spans="1:100" s="231" customFormat="1" ht="15.75">
      <c r="A60" s="271"/>
      <c r="B60" s="267"/>
      <c r="C60" s="222"/>
      <c r="D60" s="222"/>
      <c r="E60" s="222"/>
      <c r="F60" s="224">
        <f>IF(F59="Use Local Value","Enter Local Value","")</f>
      </c>
      <c r="G60" s="763"/>
      <c r="H60" s="224">
        <f>IF(H59="Use Local Value","Enter Local Value","")</f>
      </c>
      <c r="I60" s="763"/>
      <c r="J60" s="224">
        <f>IF(J59="Use Local Value","Enter Local Value","")</f>
      </c>
      <c r="K60" s="225"/>
      <c r="L60" s="224">
        <f>IF(L59="Use Local Value","Enter Local Value","")</f>
      </c>
      <c r="M60" s="226"/>
      <c r="N60" s="224">
        <f>IF(N59="Use Local Value","Enter Local Value","")</f>
      </c>
      <c r="O60" s="226"/>
      <c r="P60" s="224">
        <f>IF(P59="Use Local Value","Enter Local Value","")</f>
      </c>
      <c r="Q60" s="226"/>
      <c r="R60" s="222"/>
      <c r="S60" s="224">
        <f>IF(S59="Use Local Value","Enter Local Value","")</f>
      </c>
      <c r="T60" s="304"/>
      <c r="U60" s="222"/>
      <c r="V60" s="222"/>
      <c r="W60" s="245"/>
      <c r="X60" s="245"/>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7"/>
      <c r="BH60" s="247"/>
      <c r="BI60" s="246"/>
      <c r="BJ60" s="246"/>
      <c r="BK60" s="246"/>
      <c r="BL60" s="246"/>
      <c r="BM60" s="246"/>
      <c r="BN60" s="246"/>
      <c r="BO60" s="246"/>
      <c r="BP60" s="246"/>
      <c r="BQ60" s="246"/>
      <c r="BR60" s="246"/>
      <c r="BS60" s="246"/>
      <c r="BT60" s="246"/>
      <c r="BU60" s="246"/>
      <c r="BV60" s="246"/>
      <c r="BW60" s="246"/>
      <c r="BX60" s="246"/>
      <c r="BY60" s="246"/>
      <c r="BZ60" s="246"/>
      <c r="CA60" s="246"/>
      <c r="CB60" s="246"/>
      <c r="CC60" s="246"/>
      <c r="CD60" s="246"/>
      <c r="CE60" s="246"/>
      <c r="CF60" s="246"/>
      <c r="CG60" s="246"/>
      <c r="CH60" s="246"/>
      <c r="CI60" s="246"/>
      <c r="CJ60" s="246"/>
      <c r="CK60" s="246"/>
      <c r="CL60" s="246"/>
      <c r="CM60" s="246"/>
      <c r="CN60" s="246"/>
      <c r="CO60" s="246"/>
      <c r="CP60" s="246"/>
      <c r="CQ60" s="246"/>
      <c r="CR60" s="246"/>
      <c r="CS60" s="246"/>
      <c r="CT60" s="246"/>
      <c r="CU60" s="246"/>
      <c r="CV60" s="246"/>
    </row>
    <row r="61" spans="1:100" s="248" customFormat="1" ht="17.25" customHeight="1" thickBot="1">
      <c r="A61" s="272"/>
      <c r="B61" s="268"/>
      <c r="C61" s="249"/>
      <c r="D61" s="249"/>
      <c r="E61" s="249"/>
      <c r="F61" s="249"/>
      <c r="G61" s="249"/>
      <c r="H61" s="249"/>
      <c r="I61" s="249"/>
      <c r="J61" s="250"/>
      <c r="K61" s="251"/>
      <c r="L61" s="250"/>
      <c r="M61" s="252"/>
      <c r="N61" s="250"/>
      <c r="O61" s="252"/>
      <c r="P61" s="250"/>
      <c r="Q61" s="252"/>
      <c r="R61" s="249"/>
      <c r="S61" s="250"/>
      <c r="T61" s="305"/>
      <c r="U61" s="249"/>
      <c r="V61" s="249"/>
      <c r="W61" s="249"/>
      <c r="X61" s="276"/>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283"/>
      <c r="BE61" s="283"/>
      <c r="BF61" s="283"/>
      <c r="BG61" s="284"/>
      <c r="BH61" s="284"/>
      <c r="BI61" s="283"/>
      <c r="BJ61" s="283"/>
      <c r="BK61" s="283"/>
      <c r="BL61" s="283"/>
      <c r="BM61" s="283"/>
      <c r="BN61" s="283"/>
      <c r="BO61" s="283"/>
      <c r="BP61" s="283"/>
      <c r="BQ61" s="283"/>
      <c r="BR61" s="283"/>
      <c r="BS61" s="283"/>
      <c r="BT61" s="283"/>
      <c r="BU61" s="283"/>
      <c r="BV61" s="283"/>
      <c r="BW61" s="283"/>
      <c r="BX61" s="283"/>
      <c r="BY61" s="283"/>
      <c r="BZ61" s="283"/>
      <c r="CA61" s="283"/>
      <c r="CB61" s="283"/>
      <c r="CC61" s="283"/>
      <c r="CD61" s="283"/>
      <c r="CE61" s="283"/>
      <c r="CF61" s="283"/>
      <c r="CG61" s="283"/>
      <c r="CH61" s="283"/>
      <c r="CI61" s="283"/>
      <c r="CJ61" s="283"/>
      <c r="CK61" s="283"/>
      <c r="CL61" s="283"/>
      <c r="CM61" s="283"/>
      <c r="CN61" s="283"/>
      <c r="CO61" s="283"/>
      <c r="CP61" s="283"/>
      <c r="CQ61" s="283"/>
      <c r="CR61" s="283"/>
      <c r="CS61" s="283"/>
      <c r="CT61" s="283"/>
      <c r="CU61" s="283"/>
      <c r="CV61" s="283"/>
    </row>
    <row r="62" spans="1:100" s="253" customFormat="1" ht="15.75">
      <c r="A62" s="270" t="s">
        <v>30</v>
      </c>
      <c r="B62" s="266" t="s">
        <v>380</v>
      </c>
      <c r="C62" s="802">
        <f>IF(A62="No","",1-'RF model'!$C$14)</f>
      </c>
      <c r="D62" s="254"/>
      <c r="E62" s="255">
        <f>IF(A62="No","",0.6)</f>
      </c>
      <c r="F62" s="762" t="s">
        <v>17</v>
      </c>
      <c r="G62" s="256">
        <f>IF(A62="No","",IF(F62="Use Default",13.3*(VLOOKUP('Start Page'!$G$4,'RF Workings'!$E$3:$G$13,2)/'RF Workings'!$F$7),""))</f>
      </c>
      <c r="H62" s="762" t="s">
        <v>17</v>
      </c>
      <c r="I62" s="256">
        <f>IF(A62="No","",IF(H62="Use Default",0.7*(VLOOKUP('Start Page'!$G$4,'RF Workings'!$E$3:$G$13,2)/'RF Workings'!$F$7),""))</f>
      </c>
      <c r="J62" s="257" t="s">
        <v>17</v>
      </c>
      <c r="K62" s="801">
        <f>IF(A62="No","",IF(J62="Use Default",IF($F$1="Non-PTE",$AB$3,$AA$3),""))</f>
      </c>
      <c r="L62" s="258" t="s">
        <v>17</v>
      </c>
      <c r="M62" s="259">
        <f>IF(A62="No","",IF(L62="Use Default",IF($F$1="Non-PTE",$AB$4,$AA$4),""))</f>
      </c>
      <c r="N62" s="258" t="s">
        <v>17</v>
      </c>
      <c r="O62" s="800">
        <f>IF(A62="No","",IF(N62="Use Default",IF($F$1="Non-PTE",$AB$5,$AA$5),""))</f>
      </c>
      <c r="P62" s="258" t="s">
        <v>17</v>
      </c>
      <c r="Q62" s="801">
        <f>IF(A62="No","",(IF(P62="Use Default",IF($F$1="Non-PTE",$AB$6,$AA$6),"")))</f>
      </c>
      <c r="R62" s="260"/>
      <c r="S62" s="258" t="s">
        <v>17</v>
      </c>
      <c r="T62" s="303">
        <f>IF(A62="No","",IF(S62="Use Default",IF('MCC Model '!$F$1="Non-PTE",$AB$7,$AA$7),""))</f>
      </c>
      <c r="U62" s="255">
        <f>IF(A62="No","",0.66)</f>
      </c>
      <c r="V62" s="433">
        <f>IF(A62="Yes",(IF(BA62&lt;0,0,BA62)),"")</f>
      </c>
      <c r="W62" s="434">
        <f>IF(A62="Yes",V62*C62*D62,"")</f>
      </c>
      <c r="X62" s="275"/>
      <c r="Y62" s="278"/>
      <c r="Z62" s="278"/>
      <c r="AA62" s="278">
        <f>IF(F52="Non-PTE",AB59,AA59)</f>
        <v>6</v>
      </c>
      <c r="AB62" s="279" t="e">
        <f>IF(AND(N62="Use Default",P62="Use Default"),Q62/O62,IF(AND(N62="Use Local Value",P62="Use Default"),Q62/O63,IF(AND(N62="Use Default",P62="Use Local Value"),Q63/O62,IF(AND(N62="Use Local Value",P62="Use Local Value"),Q63/O63))))*IF($M62="",$M63,$M62)/IF($Q62="",Q63,$Q62)</f>
        <v>#VALUE!</v>
      </c>
      <c r="AC62" s="279" t="e">
        <f>AA62*AB62</f>
        <v>#VALUE!</v>
      </c>
      <c r="AD62" s="279" t="e">
        <f>1/IF(Q62="",Q63,Q62)</f>
        <v>#DIV/0!</v>
      </c>
      <c r="AE62" s="279" t="e">
        <f>AA62*((AC62+AD62)/AC62)^E62</f>
        <v>#VALUE!</v>
      </c>
      <c r="AF62" s="279" t="e">
        <f>AA62/((IF(K62="",K63,K62)/(IF(Q62="",Q63,Q62)*2)))</f>
        <v>#DIV/0!</v>
      </c>
      <c r="AG62" s="279" t="e">
        <f>AF62/2</f>
        <v>#DIV/0!</v>
      </c>
      <c r="AH62" s="279" t="e">
        <f>AE62/((IF(K62="",K63,K62)/(IF(Q62="",Q63,Q62)*2)))</f>
        <v>#VALUE!</v>
      </c>
      <c r="AI62" s="279" t="e">
        <f>AH62/2</f>
        <v>#VALUE!</v>
      </c>
      <c r="AJ62" s="279" t="e">
        <f>AI62-AG62</f>
        <v>#VALUE!</v>
      </c>
      <c r="AK62" s="280" t="e">
        <f>AJ62*IF(F62="Use Default",G62,G63)</f>
        <v>#VALUE!</v>
      </c>
      <c r="AL62" s="279" t="e">
        <f>AA62*IF(K62="",K63,K62)/((IF(K62="",K63,K62)/(IF(Q62="",Q63,Q62)*2)))</f>
        <v>#DIV/0!</v>
      </c>
      <c r="AM62" s="278" t="e">
        <f>AL62/2</f>
        <v>#DIV/0!</v>
      </c>
      <c r="AN62" s="279" t="e">
        <f>AE62*IF(K62="",K63,K62)/((IF(K62="",K63,K62)/(IF(Q62="",Q63,Q62)*2)))</f>
        <v>#VALUE!</v>
      </c>
      <c r="AO62" s="278" t="e">
        <f>AN62/2</f>
        <v>#VALUE!</v>
      </c>
      <c r="AP62" s="278" t="e">
        <f>AO62-AM62</f>
        <v>#VALUE!</v>
      </c>
      <c r="AQ62" s="280" t="e">
        <f>AP62*IF(H62="Use Default",I62,I63)</f>
        <v>#VALUE!</v>
      </c>
      <c r="AR62" s="280" t="e">
        <f>AQ62+AK62</f>
        <v>#VALUE!</v>
      </c>
      <c r="AS62" s="281" t="e">
        <f>(AE62-AA62)/AA62</f>
        <v>#VALUE!</v>
      </c>
      <c r="AT62" s="281" t="e">
        <f>AS62*U62</f>
        <v>#VALUE!</v>
      </c>
      <c r="AU62" s="282" t="e">
        <f>AC62*IF(Q62="",Q63,Q62)*2</f>
        <v>#VALUE!</v>
      </c>
      <c r="AV62" s="278" t="e">
        <f>AU62/2</f>
        <v>#VALUE!</v>
      </c>
      <c r="AW62" s="282" t="e">
        <f>AV62*IF(T62="",T63,T62)</f>
        <v>#VALUE!</v>
      </c>
      <c r="AX62" s="279" t="e">
        <f>AW62*AT62</f>
        <v>#VALUE!</v>
      </c>
      <c r="AY62" s="280" t="e">
        <f>AX62*R62</f>
        <v>#VALUE!</v>
      </c>
      <c r="AZ62" s="280" t="e">
        <f>AX62*'AC model'!$D$18</f>
        <v>#VALUE!</v>
      </c>
      <c r="BA62" s="280" t="e">
        <f>AR62-AY62+AZ62</f>
        <v>#VALUE!</v>
      </c>
      <c r="BB62" s="278"/>
      <c r="BC62" s="278"/>
      <c r="BD62" s="278"/>
      <c r="BE62" s="278"/>
      <c r="BF62" s="278"/>
      <c r="BG62" s="278"/>
      <c r="BH62" s="278"/>
      <c r="BI62" s="278"/>
      <c r="BJ62" s="278"/>
      <c r="BK62" s="278"/>
      <c r="BL62" s="278"/>
      <c r="BM62" s="278"/>
      <c r="BN62" s="278"/>
      <c r="BO62" s="278"/>
      <c r="BP62" s="278"/>
      <c r="BQ62" s="278"/>
      <c r="BR62" s="278"/>
      <c r="BS62" s="278"/>
      <c r="BT62" s="278"/>
      <c r="BU62" s="278"/>
      <c r="BV62" s="278"/>
      <c r="BW62" s="278"/>
      <c r="BX62" s="278"/>
      <c r="BY62" s="278"/>
      <c r="BZ62" s="278"/>
      <c r="CA62" s="278"/>
      <c r="CB62" s="278"/>
      <c r="CC62" s="278"/>
      <c r="CD62" s="278"/>
      <c r="CE62" s="278"/>
      <c r="CF62" s="278"/>
      <c r="CG62" s="278"/>
      <c r="CH62" s="278"/>
      <c r="CI62" s="278"/>
      <c r="CJ62" s="278"/>
      <c r="CK62" s="278"/>
      <c r="CL62" s="278"/>
      <c r="CM62" s="278"/>
      <c r="CN62" s="278"/>
      <c r="CO62" s="278"/>
      <c r="CP62" s="278"/>
      <c r="CQ62" s="278"/>
      <c r="CR62" s="278"/>
      <c r="CS62" s="278"/>
      <c r="CT62" s="278"/>
      <c r="CU62" s="278"/>
      <c r="CV62" s="278"/>
    </row>
    <row r="63" spans="1:100" s="231" customFormat="1" ht="15.75">
      <c r="A63" s="271"/>
      <c r="B63" s="267"/>
      <c r="C63" s="222"/>
      <c r="D63" s="222"/>
      <c r="E63" s="222"/>
      <c r="F63" s="224">
        <f>IF(F62="Use Local Value","Enter Local Value","")</f>
      </c>
      <c r="G63" s="763"/>
      <c r="H63" s="224">
        <f>IF(H62="Use Local Value","Enter Local Value","")</f>
      </c>
      <c r="I63" s="763"/>
      <c r="J63" s="224">
        <f>IF(J62="Use Local Value","Enter Local Value","")</f>
      </c>
      <c r="K63" s="225"/>
      <c r="L63" s="224">
        <f>IF(L62="Use Local Value","Enter Local Value","")</f>
      </c>
      <c r="M63" s="226"/>
      <c r="N63" s="224">
        <f>IF(N62="Use Local Value","Enter Local Value","")</f>
      </c>
      <c r="O63" s="226"/>
      <c r="P63" s="224">
        <f>IF(P62="Use Local Value","Enter Local Value","")</f>
      </c>
      <c r="Q63" s="226"/>
      <c r="R63" s="222"/>
      <c r="S63" s="224">
        <f>IF(S62="Use Local Value","Enter Local Value","")</f>
      </c>
      <c r="T63" s="304"/>
      <c r="U63" s="222"/>
      <c r="V63" s="222"/>
      <c r="W63" s="245"/>
      <c r="X63" s="245"/>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7"/>
      <c r="BH63" s="247"/>
      <c r="BI63" s="246"/>
      <c r="BJ63" s="246"/>
      <c r="BK63" s="246"/>
      <c r="BL63" s="246"/>
      <c r="BM63" s="246"/>
      <c r="BN63" s="246"/>
      <c r="BO63" s="246"/>
      <c r="BP63" s="246"/>
      <c r="BQ63" s="246"/>
      <c r="BR63" s="246"/>
      <c r="BS63" s="246"/>
      <c r="BT63" s="246"/>
      <c r="BU63" s="246"/>
      <c r="BV63" s="246"/>
      <c r="BW63" s="246"/>
      <c r="BX63" s="246"/>
      <c r="BY63" s="246"/>
      <c r="BZ63" s="246"/>
      <c r="CA63" s="246"/>
      <c r="CB63" s="246"/>
      <c r="CC63" s="246"/>
      <c r="CD63" s="246"/>
      <c r="CE63" s="246"/>
      <c r="CF63" s="246"/>
      <c r="CG63" s="246"/>
      <c r="CH63" s="246"/>
      <c r="CI63" s="246"/>
      <c r="CJ63" s="246"/>
      <c r="CK63" s="246"/>
      <c r="CL63" s="246"/>
      <c r="CM63" s="246"/>
      <c r="CN63" s="246"/>
      <c r="CO63" s="246"/>
      <c r="CP63" s="246"/>
      <c r="CQ63" s="246"/>
      <c r="CR63" s="246"/>
      <c r="CS63" s="246"/>
      <c r="CT63" s="246"/>
      <c r="CU63" s="246"/>
      <c r="CV63" s="246"/>
    </row>
    <row r="64" spans="1:100" s="248" customFormat="1" ht="17.25" customHeight="1" thickBot="1">
      <c r="A64" s="272"/>
      <c r="B64" s="268"/>
      <c r="C64" s="249"/>
      <c r="D64" s="249"/>
      <c r="E64" s="249"/>
      <c r="F64" s="249"/>
      <c r="G64" s="249"/>
      <c r="H64" s="249"/>
      <c r="I64" s="249"/>
      <c r="J64" s="250"/>
      <c r="K64" s="251"/>
      <c r="L64" s="250"/>
      <c r="M64" s="252"/>
      <c r="N64" s="250"/>
      <c r="O64" s="252"/>
      <c r="P64" s="250"/>
      <c r="Q64" s="252"/>
      <c r="R64" s="249"/>
      <c r="S64" s="250"/>
      <c r="T64" s="305"/>
      <c r="U64" s="249"/>
      <c r="V64" s="249"/>
      <c r="W64" s="249"/>
      <c r="X64" s="276"/>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c r="BB64" s="283"/>
      <c r="BC64" s="283"/>
      <c r="BD64" s="283"/>
      <c r="BE64" s="283"/>
      <c r="BF64" s="283"/>
      <c r="BG64" s="284"/>
      <c r="BH64" s="284"/>
      <c r="BI64" s="283"/>
      <c r="BJ64" s="283"/>
      <c r="BK64" s="283"/>
      <c r="BL64" s="283"/>
      <c r="BM64" s="283"/>
      <c r="BN64" s="283"/>
      <c r="BO64" s="283"/>
      <c r="BP64" s="283"/>
      <c r="BQ64" s="283"/>
      <c r="BR64" s="283"/>
      <c r="BS64" s="283"/>
      <c r="BT64" s="283"/>
      <c r="BU64" s="283"/>
      <c r="BV64" s="283"/>
      <c r="BW64" s="283"/>
      <c r="BX64" s="283"/>
      <c r="BY64" s="283"/>
      <c r="BZ64" s="283"/>
      <c r="CA64" s="283"/>
      <c r="CB64" s="283"/>
      <c r="CC64" s="283"/>
      <c r="CD64" s="283"/>
      <c r="CE64" s="283"/>
      <c r="CF64" s="283"/>
      <c r="CG64" s="283"/>
      <c r="CH64" s="283"/>
      <c r="CI64" s="283"/>
      <c r="CJ64" s="283"/>
      <c r="CK64" s="283"/>
      <c r="CL64" s="283"/>
      <c r="CM64" s="283"/>
      <c r="CN64" s="283"/>
      <c r="CO64" s="283"/>
      <c r="CP64" s="283"/>
      <c r="CQ64" s="283"/>
      <c r="CR64" s="283"/>
      <c r="CS64" s="283"/>
      <c r="CT64" s="283"/>
      <c r="CU64" s="283"/>
      <c r="CV64" s="283"/>
    </row>
    <row r="65" spans="1:100" s="253" customFormat="1" ht="15.75">
      <c r="A65" s="270" t="s">
        <v>30</v>
      </c>
      <c r="B65" s="266" t="s">
        <v>380</v>
      </c>
      <c r="C65" s="802">
        <f>IF(A65="No","",1-'RF model'!$C$14)</f>
      </c>
      <c r="D65" s="254"/>
      <c r="E65" s="255">
        <f>IF(A65="No","",0.6)</f>
      </c>
      <c r="F65" s="762" t="s">
        <v>17</v>
      </c>
      <c r="G65" s="256">
        <f>IF(A65="No","",IF(F65="Use Default",13.3*(VLOOKUP('Start Page'!$G$4,'RF Workings'!$E$3:$G$13,2)/'RF Workings'!$F$7),""))</f>
      </c>
      <c r="H65" s="762" t="s">
        <v>17</v>
      </c>
      <c r="I65" s="256">
        <f>IF(A65="No","",IF(H65="Use Default",0.7*(VLOOKUP('Start Page'!$G$4,'RF Workings'!$E$3:$G$13,2)/'RF Workings'!$F$7),""))</f>
      </c>
      <c r="J65" s="257" t="s">
        <v>17</v>
      </c>
      <c r="K65" s="801">
        <f>IF(A65="No","",IF(J65="Use Default",IF($F$1="Non-PTE",$AB$3,$AA$3),""))</f>
      </c>
      <c r="L65" s="258" t="s">
        <v>17</v>
      </c>
      <c r="M65" s="259">
        <f>IF(A65="No","",IF(L65="Use Default",IF($F$1="Non-PTE",$AB$4,$AA$4),""))</f>
      </c>
      <c r="N65" s="258" t="s">
        <v>17</v>
      </c>
      <c r="O65" s="800">
        <f>IF(A65="No","",IF(N65="Use Default",IF($F$1="Non-PTE",$AB$5,$AA$5),""))</f>
      </c>
      <c r="P65" s="258" t="s">
        <v>17</v>
      </c>
      <c r="Q65" s="801">
        <f>IF(A65="No","",(IF(P65="Use Default",IF($F$1="Non-PTE",$AB$6,$AA$6),"")))</f>
      </c>
      <c r="R65" s="260"/>
      <c r="S65" s="258" t="s">
        <v>17</v>
      </c>
      <c r="T65" s="303">
        <f>IF(A65="No","",IF(S65="Use Default",IF('MCC Model '!$F$1="Non-PTE",$AB$7,$AA$7),""))</f>
      </c>
      <c r="U65" s="255">
        <f>IF(A65="No","",0.66)</f>
      </c>
      <c r="V65" s="433">
        <f>IF(A65="Yes",(IF(BA65&lt;0,0,BA65)),"")</f>
      </c>
      <c r="W65" s="434">
        <f>IF(A65="Yes",V65*C65*D65,"")</f>
      </c>
      <c r="X65" s="275"/>
      <c r="Y65" s="278"/>
      <c r="Z65" s="278"/>
      <c r="AA65" s="278">
        <f>IF(F55="Non-PTE",AB62,AA62)</f>
        <v>6</v>
      </c>
      <c r="AB65" s="279" t="e">
        <f>IF(AND(N65="Use Default",P65="Use Default"),Q65/O65,IF(AND(N65="Use Local Value",P65="Use Default"),Q65/O66,IF(AND(N65="Use Default",P65="Use Local Value"),Q66/O65,IF(AND(N65="Use Local Value",P65="Use Local Value"),Q66/O66))))*IF($M65="",$M66,$M65)/IF($Q65="",Q66,$Q65)</f>
        <v>#VALUE!</v>
      </c>
      <c r="AC65" s="279" t="e">
        <f>AA65*AB65</f>
        <v>#VALUE!</v>
      </c>
      <c r="AD65" s="279" t="e">
        <f>1/IF(Q65="",Q66,Q65)</f>
        <v>#DIV/0!</v>
      </c>
      <c r="AE65" s="279" t="e">
        <f>AA65*((AC65+AD65)/AC65)^E65</f>
        <v>#VALUE!</v>
      </c>
      <c r="AF65" s="279" t="e">
        <f>AA65/((IF(K65="",K66,K65)/(IF(Q65="",Q66,Q65)*2)))</f>
        <v>#DIV/0!</v>
      </c>
      <c r="AG65" s="279" t="e">
        <f>AF65/2</f>
        <v>#DIV/0!</v>
      </c>
      <c r="AH65" s="279" t="e">
        <f>AE65/((IF(K65="",K66,K65)/(IF(Q65="",Q66,Q65)*2)))</f>
        <v>#VALUE!</v>
      </c>
      <c r="AI65" s="279" t="e">
        <f>AH65/2</f>
        <v>#VALUE!</v>
      </c>
      <c r="AJ65" s="279" t="e">
        <f>AI65-AG65</f>
        <v>#VALUE!</v>
      </c>
      <c r="AK65" s="280" t="e">
        <f>AJ65*IF(F65="Use Default",G65,G66)</f>
        <v>#VALUE!</v>
      </c>
      <c r="AL65" s="279" t="e">
        <f>AA65*IF(K65="",K66,K65)/((IF(K65="",K66,K65)/(IF(Q65="",Q66,Q65)*2)))</f>
        <v>#DIV/0!</v>
      </c>
      <c r="AM65" s="278" t="e">
        <f>AL65/2</f>
        <v>#DIV/0!</v>
      </c>
      <c r="AN65" s="279" t="e">
        <f>AE65*IF(K65="",K66,K65)/((IF(K65="",K66,K65)/(IF(Q65="",Q66,Q65)*2)))</f>
        <v>#VALUE!</v>
      </c>
      <c r="AO65" s="278" t="e">
        <f>AN65/2</f>
        <v>#VALUE!</v>
      </c>
      <c r="AP65" s="278" t="e">
        <f>AO65-AM65</f>
        <v>#VALUE!</v>
      </c>
      <c r="AQ65" s="280" t="e">
        <f>AP65*IF(H65="Use Default",I65,I66)</f>
        <v>#VALUE!</v>
      </c>
      <c r="AR65" s="280" t="e">
        <f>AQ65+AK65</f>
        <v>#VALUE!</v>
      </c>
      <c r="AS65" s="281" t="e">
        <f>(AE65-AA65)/AA65</f>
        <v>#VALUE!</v>
      </c>
      <c r="AT65" s="281" t="e">
        <f>AS65*U65</f>
        <v>#VALUE!</v>
      </c>
      <c r="AU65" s="282" t="e">
        <f>AC65*IF(Q65="",Q66,Q65)*2</f>
        <v>#VALUE!</v>
      </c>
      <c r="AV65" s="278" t="e">
        <f>AU65/2</f>
        <v>#VALUE!</v>
      </c>
      <c r="AW65" s="282" t="e">
        <f>AV65*IF(T65="",T66,T65)</f>
        <v>#VALUE!</v>
      </c>
      <c r="AX65" s="279" t="e">
        <f>AW65*AT65</f>
        <v>#VALUE!</v>
      </c>
      <c r="AY65" s="280" t="e">
        <f>AX65*R65</f>
        <v>#VALUE!</v>
      </c>
      <c r="AZ65" s="280" t="e">
        <f>AX65*'AC model'!$D$18</f>
        <v>#VALUE!</v>
      </c>
      <c r="BA65" s="280" t="e">
        <f>AR65-AY65+AZ65</f>
        <v>#VALUE!</v>
      </c>
      <c r="BB65" s="278"/>
      <c r="BC65" s="278"/>
      <c r="BD65" s="278"/>
      <c r="BE65" s="278"/>
      <c r="BF65" s="278"/>
      <c r="BG65" s="278"/>
      <c r="BH65" s="278"/>
      <c r="BI65" s="278"/>
      <c r="BJ65" s="278"/>
      <c r="BK65" s="278"/>
      <c r="BL65" s="278"/>
      <c r="BM65" s="278"/>
      <c r="BN65" s="278"/>
      <c r="BO65" s="278"/>
      <c r="BP65" s="278"/>
      <c r="BQ65" s="278"/>
      <c r="BR65" s="278"/>
      <c r="BS65" s="278"/>
      <c r="BT65" s="278"/>
      <c r="BU65" s="278"/>
      <c r="BV65" s="278"/>
      <c r="BW65" s="278"/>
      <c r="BX65" s="278"/>
      <c r="BY65" s="278"/>
      <c r="BZ65" s="278"/>
      <c r="CA65" s="278"/>
      <c r="CB65" s="278"/>
      <c r="CC65" s="278"/>
      <c r="CD65" s="278"/>
      <c r="CE65" s="278"/>
      <c r="CF65" s="278"/>
      <c r="CG65" s="278"/>
      <c r="CH65" s="278"/>
      <c r="CI65" s="278"/>
      <c r="CJ65" s="278"/>
      <c r="CK65" s="278"/>
      <c r="CL65" s="278"/>
      <c r="CM65" s="278"/>
      <c r="CN65" s="278"/>
      <c r="CO65" s="278"/>
      <c r="CP65" s="278"/>
      <c r="CQ65" s="278"/>
      <c r="CR65" s="278"/>
      <c r="CS65" s="278"/>
      <c r="CT65" s="278"/>
      <c r="CU65" s="278"/>
      <c r="CV65" s="278"/>
    </row>
    <row r="66" spans="1:100" s="231" customFormat="1" ht="15.75">
      <c r="A66" s="271"/>
      <c r="B66" s="267"/>
      <c r="C66" s="222"/>
      <c r="D66" s="222"/>
      <c r="E66" s="222"/>
      <c r="F66" s="224">
        <f>IF(F65="Use Local Value","Enter Local Value","")</f>
      </c>
      <c r="G66" s="763"/>
      <c r="H66" s="224">
        <f>IF(H65="Use Local Value","Enter Local Value","")</f>
      </c>
      <c r="I66" s="763"/>
      <c r="J66" s="224">
        <f>IF(J65="Use Local Value","Enter Local Value","")</f>
      </c>
      <c r="K66" s="225"/>
      <c r="L66" s="224">
        <f>IF(L65="Use Local Value","Enter Local Value","")</f>
      </c>
      <c r="M66" s="226"/>
      <c r="N66" s="224">
        <f>IF(N65="Use Local Value","Enter Local Value","")</f>
      </c>
      <c r="O66" s="226"/>
      <c r="P66" s="224">
        <f>IF(P65="Use Local Value","Enter Local Value","")</f>
      </c>
      <c r="Q66" s="226"/>
      <c r="R66" s="222"/>
      <c r="S66" s="224">
        <f>IF(S65="Use Local Value","Enter Local Value","")</f>
      </c>
      <c r="T66" s="304"/>
      <c r="U66" s="222"/>
      <c r="V66" s="222"/>
      <c r="W66" s="245"/>
      <c r="X66" s="245"/>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7"/>
      <c r="BH66" s="247"/>
      <c r="BI66" s="246"/>
      <c r="BJ66" s="246"/>
      <c r="BK66" s="246"/>
      <c r="BL66" s="246"/>
      <c r="BM66" s="246"/>
      <c r="BN66" s="246"/>
      <c r="BO66" s="246"/>
      <c r="BP66" s="246"/>
      <c r="BQ66" s="246"/>
      <c r="BR66" s="246"/>
      <c r="BS66" s="246"/>
      <c r="BT66" s="246"/>
      <c r="BU66" s="246"/>
      <c r="BV66" s="246"/>
      <c r="BW66" s="246"/>
      <c r="BX66" s="246"/>
      <c r="BY66" s="246"/>
      <c r="BZ66" s="246"/>
      <c r="CA66" s="246"/>
      <c r="CB66" s="246"/>
      <c r="CC66" s="246"/>
      <c r="CD66" s="246"/>
      <c r="CE66" s="246"/>
      <c r="CF66" s="246"/>
      <c r="CG66" s="246"/>
      <c r="CH66" s="246"/>
      <c r="CI66" s="246"/>
      <c r="CJ66" s="246"/>
      <c r="CK66" s="246"/>
      <c r="CL66" s="246"/>
      <c r="CM66" s="246"/>
      <c r="CN66" s="246"/>
      <c r="CO66" s="246"/>
      <c r="CP66" s="246"/>
      <c r="CQ66" s="246"/>
      <c r="CR66" s="246"/>
      <c r="CS66" s="246"/>
      <c r="CT66" s="246"/>
      <c r="CU66" s="246"/>
      <c r="CV66" s="246"/>
    </row>
    <row r="67" spans="1:100" s="248" customFormat="1" ht="17.25" customHeight="1" thickBot="1">
      <c r="A67" s="272"/>
      <c r="B67" s="268"/>
      <c r="C67" s="249"/>
      <c r="D67" s="249"/>
      <c r="E67" s="249"/>
      <c r="F67" s="249"/>
      <c r="G67" s="249"/>
      <c r="H67" s="249"/>
      <c r="I67" s="249"/>
      <c r="J67" s="250"/>
      <c r="K67" s="251"/>
      <c r="L67" s="250"/>
      <c r="M67" s="252"/>
      <c r="N67" s="250"/>
      <c r="O67" s="252"/>
      <c r="P67" s="250"/>
      <c r="Q67" s="252"/>
      <c r="R67" s="249"/>
      <c r="S67" s="250"/>
      <c r="T67" s="305"/>
      <c r="U67" s="249"/>
      <c r="V67" s="249"/>
      <c r="W67" s="249"/>
      <c r="X67" s="276"/>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4"/>
      <c r="BH67" s="284"/>
      <c r="BI67" s="283"/>
      <c r="BJ67" s="283"/>
      <c r="BK67" s="283"/>
      <c r="BL67" s="283"/>
      <c r="BM67" s="283"/>
      <c r="BN67" s="283"/>
      <c r="BO67" s="283"/>
      <c r="BP67" s="283"/>
      <c r="BQ67" s="283"/>
      <c r="BR67" s="283"/>
      <c r="BS67" s="283"/>
      <c r="BT67" s="283"/>
      <c r="BU67" s="283"/>
      <c r="BV67" s="283"/>
      <c r="BW67" s="283"/>
      <c r="BX67" s="283"/>
      <c r="BY67" s="283"/>
      <c r="BZ67" s="283"/>
      <c r="CA67" s="283"/>
      <c r="CB67" s="283"/>
      <c r="CC67" s="283"/>
      <c r="CD67" s="283"/>
      <c r="CE67" s="283"/>
      <c r="CF67" s="283"/>
      <c r="CG67" s="283"/>
      <c r="CH67" s="283"/>
      <c r="CI67" s="283"/>
      <c r="CJ67" s="283"/>
      <c r="CK67" s="283"/>
      <c r="CL67" s="283"/>
      <c r="CM67" s="283"/>
      <c r="CN67" s="283"/>
      <c r="CO67" s="283"/>
      <c r="CP67" s="283"/>
      <c r="CQ67" s="283"/>
      <c r="CR67" s="283"/>
      <c r="CS67" s="283"/>
      <c r="CT67" s="283"/>
      <c r="CU67" s="283"/>
      <c r="CV67" s="283"/>
    </row>
    <row r="68" spans="1:100" s="253" customFormat="1" ht="15.75">
      <c r="A68" s="270" t="s">
        <v>30</v>
      </c>
      <c r="B68" s="266" t="s">
        <v>380</v>
      </c>
      <c r="C68" s="802">
        <f>IF(A68="No","",1-'RF model'!$C$14)</f>
      </c>
      <c r="D68" s="254"/>
      <c r="E68" s="255">
        <f>IF(A68="No","",0.6)</f>
      </c>
      <c r="F68" s="762" t="s">
        <v>17</v>
      </c>
      <c r="G68" s="256">
        <f>IF(A68="No","",IF(F68="Use Default",13.3*(VLOOKUP('Start Page'!$G$4,'RF Workings'!$E$3:$G$13,2)/'RF Workings'!$F$7),""))</f>
      </c>
      <c r="H68" s="762" t="s">
        <v>17</v>
      </c>
      <c r="I68" s="256">
        <f>IF(A68="No","",IF(H68="Use Default",0.7*(VLOOKUP('Start Page'!$G$4,'RF Workings'!$E$3:$G$13,2)/'RF Workings'!$F$7),""))</f>
      </c>
      <c r="J68" s="257" t="s">
        <v>17</v>
      </c>
      <c r="K68" s="801">
        <f>IF(A68="No","",IF(J68="Use Default",IF($F$1="Non-PTE",$AB$3,$AA$3),""))</f>
      </c>
      <c r="L68" s="258" t="s">
        <v>17</v>
      </c>
      <c r="M68" s="259">
        <f>IF(A68="No","",IF(L68="Use Default",IF($F$1="Non-PTE",$AB$4,$AA$4),""))</f>
      </c>
      <c r="N68" s="258" t="s">
        <v>17</v>
      </c>
      <c r="O68" s="800">
        <f>IF(A68="No","",IF(N68="Use Default",IF($F$1="Non-PTE",$AB$5,$AA$5),""))</f>
      </c>
      <c r="P68" s="258" t="s">
        <v>17</v>
      </c>
      <c r="Q68" s="801">
        <f>IF(A68="No","",(IF(P68="Use Default",IF($F$1="Non-PTE",$AB$6,$AA$6),"")))</f>
      </c>
      <c r="R68" s="260"/>
      <c r="S68" s="258" t="s">
        <v>17</v>
      </c>
      <c r="T68" s="303">
        <f>IF(A68="No","",IF(S68="Use Default",IF('MCC Model '!$F$1="Non-PTE",$AB$7,$AA$7),""))</f>
      </c>
      <c r="U68" s="255">
        <f>IF(A68="No","",0.66)</f>
      </c>
      <c r="V68" s="433">
        <f>IF(A68="Yes",(IF(BA68&lt;0,0,BA68)),"")</f>
      </c>
      <c r="W68" s="434">
        <f>IF(A68="Yes",V68*C68*D68,"")</f>
      </c>
      <c r="X68" s="275"/>
      <c r="Y68" s="278"/>
      <c r="Z68" s="278"/>
      <c r="AA68" s="278">
        <f>IF(F58="Non-PTE",AB65,AA65)</f>
        <v>6</v>
      </c>
      <c r="AB68" s="279" t="e">
        <f>IF(AND(N68="Use Default",P68="Use Default"),Q68/O68,IF(AND(N68="Use Local Value",P68="Use Default"),Q68/O69,IF(AND(N68="Use Default",P68="Use Local Value"),Q69/O68,IF(AND(N68="Use Local Value",P68="Use Local Value"),Q69/O69))))*IF($M68="",$M69,$M68)/IF($Q68="",Q69,$Q68)</f>
        <v>#VALUE!</v>
      </c>
      <c r="AC68" s="279" t="e">
        <f>AA68*AB68</f>
        <v>#VALUE!</v>
      </c>
      <c r="AD68" s="279" t="e">
        <f>1/IF(Q68="",Q69,Q68)</f>
        <v>#DIV/0!</v>
      </c>
      <c r="AE68" s="279" t="e">
        <f>AA68*((AC68+AD68)/AC68)^E68</f>
        <v>#VALUE!</v>
      </c>
      <c r="AF68" s="279" t="e">
        <f>AA68/((IF(K68="",K69,K68)/(IF(Q68="",Q69,Q68)*2)))</f>
        <v>#DIV/0!</v>
      </c>
      <c r="AG68" s="279" t="e">
        <f>AF68/2</f>
        <v>#DIV/0!</v>
      </c>
      <c r="AH68" s="279" t="e">
        <f>AE68/((IF(K68="",K69,K68)/(IF(Q68="",Q69,Q68)*2)))</f>
        <v>#VALUE!</v>
      </c>
      <c r="AI68" s="279" t="e">
        <f>AH68/2</f>
        <v>#VALUE!</v>
      </c>
      <c r="AJ68" s="279" t="e">
        <f>AI68-AG68</f>
        <v>#VALUE!</v>
      </c>
      <c r="AK68" s="280" t="e">
        <f>AJ68*IF(F68="Use Default",G68,G69)</f>
        <v>#VALUE!</v>
      </c>
      <c r="AL68" s="279" t="e">
        <f>AA68*IF(K68="",K69,K68)/((IF(K68="",K69,K68)/(IF(Q68="",Q69,Q68)*2)))</f>
        <v>#DIV/0!</v>
      </c>
      <c r="AM68" s="278" t="e">
        <f>AL68/2</f>
        <v>#DIV/0!</v>
      </c>
      <c r="AN68" s="279" t="e">
        <f>AE68*IF(K68="",K69,K68)/((IF(K68="",K69,K68)/(IF(Q68="",Q69,Q68)*2)))</f>
        <v>#VALUE!</v>
      </c>
      <c r="AO68" s="278" t="e">
        <f>AN68/2</f>
        <v>#VALUE!</v>
      </c>
      <c r="AP68" s="278" t="e">
        <f>AO68-AM68</f>
        <v>#VALUE!</v>
      </c>
      <c r="AQ68" s="280" t="e">
        <f>AP68*IF(H68="Use Default",I68,I69)</f>
        <v>#VALUE!</v>
      </c>
      <c r="AR68" s="280" t="e">
        <f>AQ68+AK68</f>
        <v>#VALUE!</v>
      </c>
      <c r="AS68" s="281" t="e">
        <f>(AE68-AA68)/AA68</f>
        <v>#VALUE!</v>
      </c>
      <c r="AT68" s="281" t="e">
        <f>AS68*U68</f>
        <v>#VALUE!</v>
      </c>
      <c r="AU68" s="282" t="e">
        <f>AC68*IF(Q68="",Q69,Q68)*2</f>
        <v>#VALUE!</v>
      </c>
      <c r="AV68" s="278" t="e">
        <f>AU68/2</f>
        <v>#VALUE!</v>
      </c>
      <c r="AW68" s="282" t="e">
        <f>AV68*IF(T68="",T69,T68)</f>
        <v>#VALUE!</v>
      </c>
      <c r="AX68" s="279" t="e">
        <f>AW68*AT68</f>
        <v>#VALUE!</v>
      </c>
      <c r="AY68" s="280" t="e">
        <f>AX68*R68</f>
        <v>#VALUE!</v>
      </c>
      <c r="AZ68" s="280" t="e">
        <f>AX68*'AC model'!$D$18</f>
        <v>#VALUE!</v>
      </c>
      <c r="BA68" s="280" t="e">
        <f>AR68-AY68+AZ68</f>
        <v>#VALUE!</v>
      </c>
      <c r="BB68" s="278"/>
      <c r="BC68" s="278"/>
      <c r="BD68" s="278"/>
      <c r="BE68" s="278"/>
      <c r="BF68" s="278"/>
      <c r="BG68" s="278"/>
      <c r="BH68" s="278"/>
      <c r="BI68" s="278"/>
      <c r="BJ68" s="278"/>
      <c r="BK68" s="278"/>
      <c r="BL68" s="278"/>
      <c r="BM68" s="278"/>
      <c r="BN68" s="278"/>
      <c r="BO68" s="278"/>
      <c r="BP68" s="278"/>
      <c r="BQ68" s="278"/>
      <c r="BR68" s="278"/>
      <c r="BS68" s="278"/>
      <c r="BT68" s="278"/>
      <c r="BU68" s="278"/>
      <c r="BV68" s="278"/>
      <c r="BW68" s="278"/>
      <c r="BX68" s="278"/>
      <c r="BY68" s="278"/>
      <c r="BZ68" s="278"/>
      <c r="CA68" s="278"/>
      <c r="CB68" s="278"/>
      <c r="CC68" s="278"/>
      <c r="CD68" s="278"/>
      <c r="CE68" s="278"/>
      <c r="CF68" s="278"/>
      <c r="CG68" s="278"/>
      <c r="CH68" s="278"/>
      <c r="CI68" s="278"/>
      <c r="CJ68" s="278"/>
      <c r="CK68" s="278"/>
      <c r="CL68" s="278"/>
      <c r="CM68" s="278"/>
      <c r="CN68" s="278"/>
      <c r="CO68" s="278"/>
      <c r="CP68" s="278"/>
      <c r="CQ68" s="278"/>
      <c r="CR68" s="278"/>
      <c r="CS68" s="278"/>
      <c r="CT68" s="278"/>
      <c r="CU68" s="278"/>
      <c r="CV68" s="278"/>
    </row>
    <row r="69" spans="1:100" s="231" customFormat="1" ht="15.75">
      <c r="A69" s="271"/>
      <c r="B69" s="267"/>
      <c r="C69" s="222"/>
      <c r="D69" s="222"/>
      <c r="E69" s="222"/>
      <c r="F69" s="224">
        <f>IF(F68="Use Local Value","Enter Local Value","")</f>
      </c>
      <c r="G69" s="763"/>
      <c r="H69" s="224">
        <f>IF(H68="Use Local Value","Enter Local Value","")</f>
      </c>
      <c r="I69" s="763"/>
      <c r="J69" s="224">
        <f>IF(J68="Use Local Value","Enter Local Value","")</f>
      </c>
      <c r="K69" s="225"/>
      <c r="L69" s="224">
        <f>IF(L68="Use Local Value","Enter Local Value","")</f>
      </c>
      <c r="M69" s="226"/>
      <c r="N69" s="224">
        <f>IF(N68="Use Local Value","Enter Local Value","")</f>
      </c>
      <c r="O69" s="226"/>
      <c r="P69" s="224">
        <f>IF(P68="Use Local Value","Enter Local Value","")</f>
      </c>
      <c r="Q69" s="226"/>
      <c r="R69" s="222"/>
      <c r="S69" s="224">
        <f>IF(S68="Use Local Value","Enter Local Value","")</f>
      </c>
      <c r="T69" s="304"/>
      <c r="U69" s="222"/>
      <c r="V69" s="222"/>
      <c r="W69" s="245"/>
      <c r="X69" s="245"/>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7"/>
      <c r="BH69" s="247"/>
      <c r="BI69" s="246"/>
      <c r="BJ69" s="246"/>
      <c r="BK69" s="246"/>
      <c r="BL69" s="246"/>
      <c r="BM69" s="246"/>
      <c r="BN69" s="246"/>
      <c r="BO69" s="246"/>
      <c r="BP69" s="246"/>
      <c r="BQ69" s="246"/>
      <c r="BR69" s="246"/>
      <c r="BS69" s="246"/>
      <c r="BT69" s="246"/>
      <c r="BU69" s="246"/>
      <c r="BV69" s="246"/>
      <c r="BW69" s="246"/>
      <c r="BX69" s="246"/>
      <c r="BY69" s="246"/>
      <c r="BZ69" s="246"/>
      <c r="CA69" s="246"/>
      <c r="CB69" s="246"/>
      <c r="CC69" s="246"/>
      <c r="CD69" s="246"/>
      <c r="CE69" s="246"/>
      <c r="CF69" s="246"/>
      <c r="CG69" s="246"/>
      <c r="CH69" s="246"/>
      <c r="CI69" s="246"/>
      <c r="CJ69" s="246"/>
      <c r="CK69" s="246"/>
      <c r="CL69" s="246"/>
      <c r="CM69" s="246"/>
      <c r="CN69" s="246"/>
      <c r="CO69" s="246"/>
      <c r="CP69" s="246"/>
      <c r="CQ69" s="246"/>
      <c r="CR69" s="246"/>
      <c r="CS69" s="246"/>
      <c r="CT69" s="246"/>
      <c r="CU69" s="246"/>
      <c r="CV69" s="246"/>
    </row>
    <row r="70" spans="1:100" s="248" customFormat="1" ht="17.25" customHeight="1" thickBot="1">
      <c r="A70" s="272"/>
      <c r="B70" s="268"/>
      <c r="C70" s="249"/>
      <c r="D70" s="249"/>
      <c r="E70" s="249"/>
      <c r="F70" s="249"/>
      <c r="G70" s="249"/>
      <c r="H70" s="249"/>
      <c r="I70" s="249"/>
      <c r="J70" s="250"/>
      <c r="K70" s="251"/>
      <c r="L70" s="250"/>
      <c r="M70" s="252"/>
      <c r="N70" s="250"/>
      <c r="O70" s="252"/>
      <c r="P70" s="250"/>
      <c r="Q70" s="252"/>
      <c r="R70" s="249"/>
      <c r="S70" s="250"/>
      <c r="T70" s="305"/>
      <c r="U70" s="249"/>
      <c r="V70" s="249"/>
      <c r="W70" s="249"/>
      <c r="X70" s="276"/>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c r="AY70" s="283"/>
      <c r="AZ70" s="283"/>
      <c r="BA70" s="283"/>
      <c r="BB70" s="283"/>
      <c r="BC70" s="283"/>
      <c r="BD70" s="283"/>
      <c r="BE70" s="283"/>
      <c r="BF70" s="283"/>
      <c r="BG70" s="284"/>
      <c r="BH70" s="284"/>
      <c r="BI70" s="283"/>
      <c r="BJ70" s="283"/>
      <c r="BK70" s="283"/>
      <c r="BL70" s="283"/>
      <c r="BM70" s="283"/>
      <c r="BN70" s="283"/>
      <c r="BO70" s="283"/>
      <c r="BP70" s="283"/>
      <c r="BQ70" s="283"/>
      <c r="BR70" s="283"/>
      <c r="BS70" s="283"/>
      <c r="BT70" s="283"/>
      <c r="BU70" s="283"/>
      <c r="BV70" s="283"/>
      <c r="BW70" s="283"/>
      <c r="BX70" s="283"/>
      <c r="BY70" s="283"/>
      <c r="BZ70" s="283"/>
      <c r="CA70" s="283"/>
      <c r="CB70" s="283"/>
      <c r="CC70" s="283"/>
      <c r="CD70" s="283"/>
      <c r="CE70" s="283"/>
      <c r="CF70" s="283"/>
      <c r="CG70" s="283"/>
      <c r="CH70" s="283"/>
      <c r="CI70" s="283"/>
      <c r="CJ70" s="283"/>
      <c r="CK70" s="283"/>
      <c r="CL70" s="283"/>
      <c r="CM70" s="283"/>
      <c r="CN70" s="283"/>
      <c r="CO70" s="283"/>
      <c r="CP70" s="283"/>
      <c r="CQ70" s="283"/>
      <c r="CR70" s="283"/>
      <c r="CS70" s="283"/>
      <c r="CT70" s="283"/>
      <c r="CU70" s="283"/>
      <c r="CV70" s="283"/>
    </row>
    <row r="71" spans="1:100" s="253" customFormat="1" ht="15.75">
      <c r="A71" s="270" t="s">
        <v>30</v>
      </c>
      <c r="B71" s="266" t="s">
        <v>380</v>
      </c>
      <c r="C71" s="802">
        <f>IF(A71="No","",1-'RF model'!$C$14)</f>
      </c>
      <c r="D71" s="254"/>
      <c r="E71" s="255">
        <f>IF(A71="No","",0.6)</f>
      </c>
      <c r="F71" s="762" t="s">
        <v>17</v>
      </c>
      <c r="G71" s="256">
        <f>IF(A71="No","",IF(F71="Use Default",13.3*(VLOOKUP('Start Page'!$G$4,'RF Workings'!$E$3:$G$13,2)/'RF Workings'!$F$7),""))</f>
      </c>
      <c r="H71" s="762" t="s">
        <v>17</v>
      </c>
      <c r="I71" s="256">
        <f>IF(A71="No","",IF(H71="Use Default",0.7*(VLOOKUP('Start Page'!$G$4,'RF Workings'!$E$3:$G$13,2)/'RF Workings'!$F$7),""))</f>
      </c>
      <c r="J71" s="257" t="s">
        <v>17</v>
      </c>
      <c r="K71" s="801">
        <f>IF(A71="No","",IF(J71="Use Default",IF($F$1="Non-PTE",$AB$3,$AA$3),""))</f>
      </c>
      <c r="L71" s="258" t="s">
        <v>17</v>
      </c>
      <c r="M71" s="259">
        <f>IF(A71="No","",IF(L71="Use Default",IF($F$1="Non-PTE",$AB$4,$AA$4),""))</f>
      </c>
      <c r="N71" s="258" t="s">
        <v>17</v>
      </c>
      <c r="O71" s="800">
        <f>IF(A71="No","",IF(N71="Use Default",IF($F$1="Non-PTE",$AB$5,$AA$5),""))</f>
      </c>
      <c r="P71" s="258" t="s">
        <v>17</v>
      </c>
      <c r="Q71" s="801">
        <f>IF(A71="No","",(IF(P71="Use Default",IF($F$1="Non-PTE",$AB$6,$AA$6),"")))</f>
      </c>
      <c r="R71" s="260"/>
      <c r="S71" s="258" t="s">
        <v>17</v>
      </c>
      <c r="T71" s="303">
        <f>IF(A71="No","",IF(S71="Use Default",IF('MCC Model '!$F$1="Non-PTE",$AB$7,$AA$7),""))</f>
      </c>
      <c r="U71" s="255">
        <f>IF(A71="No","",0.66)</f>
      </c>
      <c r="V71" s="433">
        <f>IF(A71="Yes",(IF(BA71&lt;0,0,BA71)),"")</f>
      </c>
      <c r="W71" s="434">
        <f>IF(A71="Yes",V71*C71*D71,"")</f>
      </c>
      <c r="X71" s="275"/>
      <c r="Y71" s="278"/>
      <c r="Z71" s="278"/>
      <c r="AA71" s="278">
        <f>IF(F61="Non-PTE",AB68,AA68)</f>
        <v>6</v>
      </c>
      <c r="AB71" s="279" t="e">
        <f>IF(AND(N71="Use Default",P71="Use Default"),Q71/O71,IF(AND(N71="Use Local Value",P71="Use Default"),Q71/O72,IF(AND(N71="Use Default",P71="Use Local Value"),Q72/O71,IF(AND(N71="Use Local Value",P71="Use Local Value"),Q72/O72))))*IF($M71="",$M72,$M71)/IF($Q71="",Q72,$Q71)</f>
        <v>#VALUE!</v>
      </c>
      <c r="AC71" s="279" t="e">
        <f>AA71*AB71</f>
        <v>#VALUE!</v>
      </c>
      <c r="AD71" s="279" t="e">
        <f>1/IF(Q71="",Q72,Q71)</f>
        <v>#DIV/0!</v>
      </c>
      <c r="AE71" s="279" t="e">
        <f>AA71*((AC71+AD71)/AC71)^E71</f>
        <v>#VALUE!</v>
      </c>
      <c r="AF71" s="279" t="e">
        <f>AA71/((IF(K71="",K72,K71)/(IF(Q71="",Q72,Q71)*2)))</f>
        <v>#DIV/0!</v>
      </c>
      <c r="AG71" s="279" t="e">
        <f>AF71/2</f>
        <v>#DIV/0!</v>
      </c>
      <c r="AH71" s="279" t="e">
        <f>AE71/((IF(K71="",K72,K71)/(IF(Q71="",Q72,Q71)*2)))</f>
        <v>#VALUE!</v>
      </c>
      <c r="AI71" s="279" t="e">
        <f>AH71/2</f>
        <v>#VALUE!</v>
      </c>
      <c r="AJ71" s="279" t="e">
        <f>AI71-AG71</f>
        <v>#VALUE!</v>
      </c>
      <c r="AK71" s="280" t="e">
        <f>AJ71*IF(F71="Use Default",G71,G72)</f>
        <v>#VALUE!</v>
      </c>
      <c r="AL71" s="279" t="e">
        <f>AA71*IF(K71="",K72,K71)/((IF(K71="",K72,K71)/(IF(Q71="",Q72,Q71)*2)))</f>
        <v>#DIV/0!</v>
      </c>
      <c r="AM71" s="278" t="e">
        <f>AL71/2</f>
        <v>#DIV/0!</v>
      </c>
      <c r="AN71" s="279" t="e">
        <f>AE71*IF(K71="",K72,K71)/((IF(K71="",K72,K71)/(IF(Q71="",Q72,Q71)*2)))</f>
        <v>#VALUE!</v>
      </c>
      <c r="AO71" s="278" t="e">
        <f>AN71/2</f>
        <v>#VALUE!</v>
      </c>
      <c r="AP71" s="278" t="e">
        <f>AO71-AM71</f>
        <v>#VALUE!</v>
      </c>
      <c r="AQ71" s="280" t="e">
        <f>AP71*IF(H71="Use Default",I71,I72)</f>
        <v>#VALUE!</v>
      </c>
      <c r="AR71" s="280" t="e">
        <f>AQ71+AK71</f>
        <v>#VALUE!</v>
      </c>
      <c r="AS71" s="281" t="e">
        <f>(AE71-AA71)/AA71</f>
        <v>#VALUE!</v>
      </c>
      <c r="AT71" s="281" t="e">
        <f>AS71*U71</f>
        <v>#VALUE!</v>
      </c>
      <c r="AU71" s="282" t="e">
        <f>AC71*IF(Q71="",Q72,Q71)*2</f>
        <v>#VALUE!</v>
      </c>
      <c r="AV71" s="278" t="e">
        <f>AU71/2</f>
        <v>#VALUE!</v>
      </c>
      <c r="AW71" s="282" t="e">
        <f>AV71*IF(T71="",T72,T71)</f>
        <v>#VALUE!</v>
      </c>
      <c r="AX71" s="279" t="e">
        <f>AW71*AT71</f>
        <v>#VALUE!</v>
      </c>
      <c r="AY71" s="280" t="e">
        <f>AX71*R71</f>
        <v>#VALUE!</v>
      </c>
      <c r="AZ71" s="280" t="e">
        <f>AX71*'AC model'!$D$18</f>
        <v>#VALUE!</v>
      </c>
      <c r="BA71" s="280" t="e">
        <f>AR71-AY71+AZ71</f>
        <v>#VALUE!</v>
      </c>
      <c r="BB71" s="278"/>
      <c r="BC71" s="278"/>
      <c r="BD71" s="278"/>
      <c r="BE71" s="278"/>
      <c r="BF71" s="278"/>
      <c r="BG71" s="278"/>
      <c r="BH71" s="278"/>
      <c r="BI71" s="278"/>
      <c r="BJ71" s="278"/>
      <c r="BK71" s="278"/>
      <c r="BL71" s="278"/>
      <c r="BM71" s="278"/>
      <c r="BN71" s="278"/>
      <c r="BO71" s="278"/>
      <c r="BP71" s="278"/>
      <c r="BQ71" s="278"/>
      <c r="BR71" s="278"/>
      <c r="BS71" s="278"/>
      <c r="BT71" s="278"/>
      <c r="BU71" s="278"/>
      <c r="BV71" s="278"/>
      <c r="BW71" s="278"/>
      <c r="BX71" s="278"/>
      <c r="BY71" s="278"/>
      <c r="BZ71" s="278"/>
      <c r="CA71" s="278"/>
      <c r="CB71" s="278"/>
      <c r="CC71" s="278"/>
      <c r="CD71" s="278"/>
      <c r="CE71" s="278"/>
      <c r="CF71" s="278"/>
      <c r="CG71" s="278"/>
      <c r="CH71" s="278"/>
      <c r="CI71" s="278"/>
      <c r="CJ71" s="278"/>
      <c r="CK71" s="278"/>
      <c r="CL71" s="278"/>
      <c r="CM71" s="278"/>
      <c r="CN71" s="278"/>
      <c r="CO71" s="278"/>
      <c r="CP71" s="278"/>
      <c r="CQ71" s="278"/>
      <c r="CR71" s="278"/>
      <c r="CS71" s="278"/>
      <c r="CT71" s="278"/>
      <c r="CU71" s="278"/>
      <c r="CV71" s="278"/>
    </row>
    <row r="72" spans="1:100" s="231" customFormat="1" ht="15.75">
      <c r="A72" s="271"/>
      <c r="B72" s="267"/>
      <c r="C72" s="222"/>
      <c r="D72" s="222"/>
      <c r="E72" s="222"/>
      <c r="F72" s="224">
        <f>IF(F71="Use Local Value","Enter Local Value","")</f>
      </c>
      <c r="G72" s="763"/>
      <c r="H72" s="224">
        <f>IF(H71="Use Local Value","Enter Local Value","")</f>
      </c>
      <c r="I72" s="763"/>
      <c r="J72" s="224">
        <f>IF(J71="Use Local Value","Enter Local Value","")</f>
      </c>
      <c r="K72" s="225"/>
      <c r="L72" s="224">
        <f>IF(L71="Use Local Value","Enter Local Value","")</f>
      </c>
      <c r="M72" s="226"/>
      <c r="N72" s="224">
        <f>IF(N71="Use Local Value","Enter Local Value","")</f>
      </c>
      <c r="O72" s="226"/>
      <c r="P72" s="224">
        <f>IF(P71="Use Local Value","Enter Local Value","")</f>
      </c>
      <c r="Q72" s="226"/>
      <c r="R72" s="222"/>
      <c r="S72" s="224">
        <f>IF(S71="Use Local Value","Enter Local Value","")</f>
      </c>
      <c r="T72" s="304"/>
      <c r="U72" s="222"/>
      <c r="V72" s="222"/>
      <c r="W72" s="245"/>
      <c r="X72" s="245"/>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7"/>
      <c r="BH72" s="247"/>
      <c r="BI72" s="246"/>
      <c r="BJ72" s="246"/>
      <c r="BK72" s="246"/>
      <c r="BL72" s="246"/>
      <c r="BM72" s="246"/>
      <c r="BN72" s="246"/>
      <c r="BO72" s="246"/>
      <c r="BP72" s="246"/>
      <c r="BQ72" s="246"/>
      <c r="BR72" s="246"/>
      <c r="BS72" s="246"/>
      <c r="BT72" s="246"/>
      <c r="BU72" s="246"/>
      <c r="BV72" s="246"/>
      <c r="BW72" s="246"/>
      <c r="BX72" s="246"/>
      <c r="BY72" s="246"/>
      <c r="BZ72" s="246"/>
      <c r="CA72" s="246"/>
      <c r="CB72" s="246"/>
      <c r="CC72" s="246"/>
      <c r="CD72" s="246"/>
      <c r="CE72" s="246"/>
      <c r="CF72" s="246"/>
      <c r="CG72" s="246"/>
      <c r="CH72" s="246"/>
      <c r="CI72" s="246"/>
      <c r="CJ72" s="246"/>
      <c r="CK72" s="246"/>
      <c r="CL72" s="246"/>
      <c r="CM72" s="246"/>
      <c r="CN72" s="246"/>
      <c r="CO72" s="246"/>
      <c r="CP72" s="246"/>
      <c r="CQ72" s="246"/>
      <c r="CR72" s="246"/>
      <c r="CS72" s="246"/>
      <c r="CT72" s="246"/>
      <c r="CU72" s="246"/>
      <c r="CV72" s="246"/>
    </row>
    <row r="73" spans="1:100" s="248" customFormat="1" ht="17.25" customHeight="1" thickBot="1">
      <c r="A73" s="272"/>
      <c r="B73" s="268"/>
      <c r="C73" s="249"/>
      <c r="D73" s="249"/>
      <c r="E73" s="249"/>
      <c r="F73" s="249"/>
      <c r="G73" s="249"/>
      <c r="H73" s="249"/>
      <c r="I73" s="249"/>
      <c r="J73" s="250"/>
      <c r="K73" s="251"/>
      <c r="L73" s="250"/>
      <c r="M73" s="252"/>
      <c r="N73" s="250"/>
      <c r="O73" s="252"/>
      <c r="P73" s="250"/>
      <c r="Q73" s="252"/>
      <c r="R73" s="249"/>
      <c r="S73" s="250"/>
      <c r="T73" s="305"/>
      <c r="U73" s="249"/>
      <c r="V73" s="249"/>
      <c r="W73" s="249"/>
      <c r="X73" s="276"/>
      <c r="Y73" s="283"/>
      <c r="Z73" s="283"/>
      <c r="AA73" s="283"/>
      <c r="AB73" s="283"/>
      <c r="AC73" s="283"/>
      <c r="AD73" s="28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283"/>
      <c r="BD73" s="283"/>
      <c r="BE73" s="283"/>
      <c r="BF73" s="283"/>
      <c r="BG73" s="284"/>
      <c r="BH73" s="284"/>
      <c r="BI73" s="283"/>
      <c r="BJ73" s="283"/>
      <c r="BK73" s="283"/>
      <c r="BL73" s="283"/>
      <c r="BM73" s="283"/>
      <c r="BN73" s="283"/>
      <c r="BO73" s="283"/>
      <c r="BP73" s="283"/>
      <c r="BQ73" s="283"/>
      <c r="BR73" s="283"/>
      <c r="BS73" s="283"/>
      <c r="BT73" s="283"/>
      <c r="BU73" s="283"/>
      <c r="BV73" s="283"/>
      <c r="BW73" s="283"/>
      <c r="BX73" s="283"/>
      <c r="BY73" s="283"/>
      <c r="BZ73" s="283"/>
      <c r="CA73" s="283"/>
      <c r="CB73" s="283"/>
      <c r="CC73" s="283"/>
      <c r="CD73" s="283"/>
      <c r="CE73" s="283"/>
      <c r="CF73" s="283"/>
      <c r="CG73" s="283"/>
      <c r="CH73" s="283"/>
      <c r="CI73" s="283"/>
      <c r="CJ73" s="283"/>
      <c r="CK73" s="283"/>
      <c r="CL73" s="283"/>
      <c r="CM73" s="283"/>
      <c r="CN73" s="283"/>
      <c r="CO73" s="283"/>
      <c r="CP73" s="283"/>
      <c r="CQ73" s="283"/>
      <c r="CR73" s="283"/>
      <c r="CS73" s="283"/>
      <c r="CT73" s="283"/>
      <c r="CU73" s="283"/>
      <c r="CV73" s="283"/>
    </row>
    <row r="74" spans="1:100" s="253" customFormat="1" ht="15.75">
      <c r="A74" s="270" t="s">
        <v>30</v>
      </c>
      <c r="B74" s="266" t="s">
        <v>380</v>
      </c>
      <c r="C74" s="802">
        <f>IF(A74="No","",1-'RF model'!$C$14)</f>
      </c>
      <c r="D74" s="254"/>
      <c r="E74" s="255">
        <f>IF(A74="No","",0.6)</f>
      </c>
      <c r="F74" s="762" t="s">
        <v>17</v>
      </c>
      <c r="G74" s="256">
        <f>IF(A74="No","",IF(F74="Use Default",13.3*(VLOOKUP('Start Page'!$G$4,'RF Workings'!$E$3:$G$13,2)/'RF Workings'!$F$7),""))</f>
      </c>
      <c r="H74" s="762" t="s">
        <v>17</v>
      </c>
      <c r="I74" s="256">
        <f>IF(A74="No","",IF(H74="Use Default",0.7*(VLOOKUP('Start Page'!$G$4,'RF Workings'!$E$3:$G$13,2)/'RF Workings'!$F$7),""))</f>
      </c>
      <c r="J74" s="257" t="s">
        <v>17</v>
      </c>
      <c r="K74" s="801">
        <f>IF(A74="No","",IF(J74="Use Default",IF($F$1="Non-PTE",$AB$3,$AA$3),""))</f>
      </c>
      <c r="L74" s="258" t="s">
        <v>17</v>
      </c>
      <c r="M74" s="259">
        <f>IF(A74="No","",IF(L74="Use Default",IF($F$1="Non-PTE",$AB$4,$AA$4),""))</f>
      </c>
      <c r="N74" s="258" t="s">
        <v>17</v>
      </c>
      <c r="O74" s="800">
        <f>IF(A74="No","",IF(N74="Use Default",IF($F$1="Non-PTE",$AB$5,$AA$5),""))</f>
      </c>
      <c r="P74" s="258" t="s">
        <v>17</v>
      </c>
      <c r="Q74" s="801">
        <f>IF(A74="No","",(IF(P74="Use Default",IF($F$1="Non-PTE",$AB$6,$AA$6),"")))</f>
      </c>
      <c r="R74" s="260"/>
      <c r="S74" s="258" t="s">
        <v>17</v>
      </c>
      <c r="T74" s="303">
        <f>IF(A74="No","",IF(S74="Use Default",IF('MCC Model '!$F$1="Non-PTE",$AB$7,$AA$7),""))</f>
      </c>
      <c r="U74" s="255">
        <f>IF(A74="No","",0.66)</f>
      </c>
      <c r="V74" s="433">
        <f>IF(A74="Yes",(IF(BA74&lt;0,0,BA74)),"")</f>
      </c>
      <c r="W74" s="434">
        <f>IF(A74="Yes",V74*C74*D74,"")</f>
      </c>
      <c r="X74" s="275"/>
      <c r="Y74" s="278"/>
      <c r="Z74" s="278"/>
      <c r="AA74" s="278">
        <f>IF(F64="Non-PTE",AB71,AA71)</f>
        <v>6</v>
      </c>
      <c r="AB74" s="279" t="e">
        <f>IF(AND(N74="Use Default",P74="Use Default"),Q74/O74,IF(AND(N74="Use Local Value",P74="Use Default"),Q74/O75,IF(AND(N74="Use Default",P74="Use Local Value"),Q75/O74,IF(AND(N74="Use Local Value",P74="Use Local Value"),Q75/O75))))*IF($M74="",$M75,$M74)/IF($Q74="",Q75,$Q74)</f>
        <v>#VALUE!</v>
      </c>
      <c r="AC74" s="279" t="e">
        <f>AA74*AB74</f>
        <v>#VALUE!</v>
      </c>
      <c r="AD74" s="279" t="e">
        <f>1/IF(Q74="",Q75,Q74)</f>
        <v>#DIV/0!</v>
      </c>
      <c r="AE74" s="279" t="e">
        <f>AA74*((AC74+AD74)/AC74)^E74</f>
        <v>#VALUE!</v>
      </c>
      <c r="AF74" s="279" t="e">
        <f>AA74/((IF(K74="",K75,K74)/(IF(Q74="",Q75,Q74)*2)))</f>
        <v>#DIV/0!</v>
      </c>
      <c r="AG74" s="279" t="e">
        <f>AF74/2</f>
        <v>#DIV/0!</v>
      </c>
      <c r="AH74" s="279" t="e">
        <f>AE74/((IF(K74="",K75,K74)/(IF(Q74="",Q75,Q74)*2)))</f>
        <v>#VALUE!</v>
      </c>
      <c r="AI74" s="279" t="e">
        <f>AH74/2</f>
        <v>#VALUE!</v>
      </c>
      <c r="AJ74" s="279" t="e">
        <f>AI74-AG74</f>
        <v>#VALUE!</v>
      </c>
      <c r="AK74" s="280" t="e">
        <f>AJ74*IF(F74="Use Default",G74,G75)</f>
        <v>#VALUE!</v>
      </c>
      <c r="AL74" s="279" t="e">
        <f>AA74*IF(K74="",K75,K74)/((IF(K74="",K75,K74)/(IF(Q74="",Q75,Q74)*2)))</f>
        <v>#DIV/0!</v>
      </c>
      <c r="AM74" s="278" t="e">
        <f>AL74/2</f>
        <v>#DIV/0!</v>
      </c>
      <c r="AN74" s="279" t="e">
        <f>AE74*IF(K74="",K75,K74)/((IF(K74="",K75,K74)/(IF(Q74="",Q75,Q74)*2)))</f>
        <v>#VALUE!</v>
      </c>
      <c r="AO74" s="278" t="e">
        <f>AN74/2</f>
        <v>#VALUE!</v>
      </c>
      <c r="AP74" s="278" t="e">
        <f>AO74-AM74</f>
        <v>#VALUE!</v>
      </c>
      <c r="AQ74" s="280" t="e">
        <f>AP74*IF(H74="Use Default",I74,I75)</f>
        <v>#VALUE!</v>
      </c>
      <c r="AR74" s="280" t="e">
        <f>AQ74+AK74</f>
        <v>#VALUE!</v>
      </c>
      <c r="AS74" s="281" t="e">
        <f>(AE74-AA74)/AA74</f>
        <v>#VALUE!</v>
      </c>
      <c r="AT74" s="281" t="e">
        <f>AS74*U74</f>
        <v>#VALUE!</v>
      </c>
      <c r="AU74" s="282" t="e">
        <f>AC74*IF(Q74="",Q75,Q74)*2</f>
        <v>#VALUE!</v>
      </c>
      <c r="AV74" s="278" t="e">
        <f>AU74/2</f>
        <v>#VALUE!</v>
      </c>
      <c r="AW74" s="282" t="e">
        <f>AV74*IF(T74="",T75,T74)</f>
        <v>#VALUE!</v>
      </c>
      <c r="AX74" s="279" t="e">
        <f>AW74*AT74</f>
        <v>#VALUE!</v>
      </c>
      <c r="AY74" s="280" t="e">
        <f>AX74*R74</f>
        <v>#VALUE!</v>
      </c>
      <c r="AZ74" s="280" t="e">
        <f>AX74*'AC model'!$D$18</f>
        <v>#VALUE!</v>
      </c>
      <c r="BA74" s="280" t="e">
        <f>AR74-AY74+AZ74</f>
        <v>#VALUE!</v>
      </c>
      <c r="BB74" s="278"/>
      <c r="BC74" s="278"/>
      <c r="BD74" s="278"/>
      <c r="BE74" s="278"/>
      <c r="BF74" s="278"/>
      <c r="BG74" s="278"/>
      <c r="BH74" s="278"/>
      <c r="BI74" s="278"/>
      <c r="BJ74" s="278"/>
      <c r="BK74" s="278"/>
      <c r="BL74" s="278"/>
      <c r="BM74" s="278"/>
      <c r="BN74" s="278"/>
      <c r="BO74" s="278"/>
      <c r="BP74" s="278"/>
      <c r="BQ74" s="278"/>
      <c r="BR74" s="278"/>
      <c r="BS74" s="278"/>
      <c r="BT74" s="278"/>
      <c r="BU74" s="278"/>
      <c r="BV74" s="278"/>
      <c r="BW74" s="278"/>
      <c r="BX74" s="278"/>
      <c r="BY74" s="278"/>
      <c r="BZ74" s="278"/>
      <c r="CA74" s="278"/>
      <c r="CB74" s="278"/>
      <c r="CC74" s="278"/>
      <c r="CD74" s="278"/>
      <c r="CE74" s="278"/>
      <c r="CF74" s="278"/>
      <c r="CG74" s="278"/>
      <c r="CH74" s="278"/>
      <c r="CI74" s="278"/>
      <c r="CJ74" s="278"/>
      <c r="CK74" s="278"/>
      <c r="CL74" s="278"/>
      <c r="CM74" s="278"/>
      <c r="CN74" s="278"/>
      <c r="CO74" s="278"/>
      <c r="CP74" s="278"/>
      <c r="CQ74" s="278"/>
      <c r="CR74" s="278"/>
      <c r="CS74" s="278"/>
      <c r="CT74" s="278"/>
      <c r="CU74" s="278"/>
      <c r="CV74" s="278"/>
    </row>
    <row r="75" spans="1:100" s="231" customFormat="1" ht="15.75">
      <c r="A75" s="271"/>
      <c r="B75" s="267"/>
      <c r="C75" s="222"/>
      <c r="D75" s="222"/>
      <c r="E75" s="222"/>
      <c r="F75" s="224">
        <f>IF(F74="Use Local Value","Enter Local Value","")</f>
      </c>
      <c r="G75" s="763"/>
      <c r="H75" s="224">
        <f>IF(H74="Use Local Value","Enter Local Value","")</f>
      </c>
      <c r="I75" s="763"/>
      <c r="J75" s="224">
        <f>IF(J74="Use Local Value","Enter Local Value","")</f>
      </c>
      <c r="K75" s="225"/>
      <c r="L75" s="224">
        <f>IF(L74="Use Local Value","Enter Local Value","")</f>
      </c>
      <c r="M75" s="226"/>
      <c r="N75" s="224">
        <f>IF(N74="Use Local Value","Enter Local Value","")</f>
      </c>
      <c r="O75" s="226"/>
      <c r="P75" s="224">
        <f>IF(P74="Use Local Value","Enter Local Value","")</f>
      </c>
      <c r="Q75" s="226"/>
      <c r="R75" s="222"/>
      <c r="S75" s="224">
        <f>IF(S74="Use Local Value","Enter Local Value","")</f>
      </c>
      <c r="T75" s="304"/>
      <c r="U75" s="222"/>
      <c r="V75" s="222"/>
      <c r="W75" s="245"/>
      <c r="X75" s="245"/>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7"/>
      <c r="BH75" s="247"/>
      <c r="BI75" s="246"/>
      <c r="BJ75" s="246"/>
      <c r="BK75" s="246"/>
      <c r="BL75" s="246"/>
      <c r="BM75" s="246"/>
      <c r="BN75" s="246"/>
      <c r="BO75" s="246"/>
      <c r="BP75" s="246"/>
      <c r="BQ75" s="246"/>
      <c r="BR75" s="246"/>
      <c r="BS75" s="246"/>
      <c r="BT75" s="246"/>
      <c r="BU75" s="246"/>
      <c r="BV75" s="246"/>
      <c r="BW75" s="246"/>
      <c r="BX75" s="246"/>
      <c r="BY75" s="246"/>
      <c r="BZ75" s="246"/>
      <c r="CA75" s="246"/>
      <c r="CB75" s="246"/>
      <c r="CC75" s="246"/>
      <c r="CD75" s="246"/>
      <c r="CE75" s="246"/>
      <c r="CF75" s="246"/>
      <c r="CG75" s="246"/>
      <c r="CH75" s="246"/>
      <c r="CI75" s="246"/>
      <c r="CJ75" s="246"/>
      <c r="CK75" s="246"/>
      <c r="CL75" s="246"/>
      <c r="CM75" s="246"/>
      <c r="CN75" s="246"/>
      <c r="CO75" s="246"/>
      <c r="CP75" s="246"/>
      <c r="CQ75" s="246"/>
      <c r="CR75" s="246"/>
      <c r="CS75" s="246"/>
      <c r="CT75" s="246"/>
      <c r="CU75" s="246"/>
      <c r="CV75" s="246"/>
    </row>
    <row r="76" spans="1:100" s="248" customFormat="1" ht="17.25" customHeight="1" thickBot="1">
      <c r="A76" s="272"/>
      <c r="B76" s="268"/>
      <c r="C76" s="249"/>
      <c r="D76" s="249"/>
      <c r="E76" s="249"/>
      <c r="F76" s="249"/>
      <c r="G76" s="249"/>
      <c r="H76" s="249"/>
      <c r="I76" s="249"/>
      <c r="J76" s="250"/>
      <c r="K76" s="251"/>
      <c r="L76" s="250"/>
      <c r="M76" s="252"/>
      <c r="N76" s="250"/>
      <c r="O76" s="252"/>
      <c r="P76" s="250"/>
      <c r="Q76" s="252"/>
      <c r="R76" s="249"/>
      <c r="S76" s="250"/>
      <c r="T76" s="305"/>
      <c r="U76" s="249"/>
      <c r="V76" s="249"/>
      <c r="W76" s="249"/>
      <c r="X76" s="276"/>
      <c r="Y76" s="283"/>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4"/>
      <c r="BH76" s="284"/>
      <c r="BI76" s="283"/>
      <c r="BJ76" s="283"/>
      <c r="BK76" s="283"/>
      <c r="BL76" s="283"/>
      <c r="BM76" s="283"/>
      <c r="BN76" s="283"/>
      <c r="BO76" s="283"/>
      <c r="BP76" s="283"/>
      <c r="BQ76" s="283"/>
      <c r="BR76" s="283"/>
      <c r="BS76" s="283"/>
      <c r="BT76" s="283"/>
      <c r="BU76" s="283"/>
      <c r="BV76" s="283"/>
      <c r="BW76" s="283"/>
      <c r="BX76" s="283"/>
      <c r="BY76" s="283"/>
      <c r="BZ76" s="283"/>
      <c r="CA76" s="283"/>
      <c r="CB76" s="283"/>
      <c r="CC76" s="283"/>
      <c r="CD76" s="283"/>
      <c r="CE76" s="283"/>
      <c r="CF76" s="283"/>
      <c r="CG76" s="283"/>
      <c r="CH76" s="283"/>
      <c r="CI76" s="283"/>
      <c r="CJ76" s="283"/>
      <c r="CK76" s="283"/>
      <c r="CL76" s="283"/>
      <c r="CM76" s="283"/>
      <c r="CN76" s="283"/>
      <c r="CO76" s="283"/>
      <c r="CP76" s="283"/>
      <c r="CQ76" s="283"/>
      <c r="CR76" s="283"/>
      <c r="CS76" s="283"/>
      <c r="CT76" s="283"/>
      <c r="CU76" s="283"/>
      <c r="CV76" s="283"/>
    </row>
    <row r="77" spans="1:100" s="253" customFormat="1" ht="15.75">
      <c r="A77" s="270" t="s">
        <v>30</v>
      </c>
      <c r="B77" s="266" t="s">
        <v>380</v>
      </c>
      <c r="C77" s="802">
        <f>IF(A77="No","",1-'RF model'!$C$14)</f>
      </c>
      <c r="D77" s="254"/>
      <c r="E77" s="255">
        <f>IF(A77="No","",0.6)</f>
      </c>
      <c r="F77" s="762" t="s">
        <v>17</v>
      </c>
      <c r="G77" s="256">
        <f>IF(A77="No","",IF(F77="Use Default",13.3*(VLOOKUP('Start Page'!$G$4,'RF Workings'!$E$3:$G$13,2)/'RF Workings'!$F$7),""))</f>
      </c>
      <c r="H77" s="762" t="s">
        <v>17</v>
      </c>
      <c r="I77" s="256">
        <f>IF(A77="No","",IF(H77="Use Default",0.7*(VLOOKUP('Start Page'!$G$4,'RF Workings'!$E$3:$G$13,2)/'RF Workings'!$F$7),""))</f>
      </c>
      <c r="J77" s="257" t="s">
        <v>17</v>
      </c>
      <c r="K77" s="801">
        <f>IF(A77="No","",IF(J77="Use Default",IF($F$1="Non-PTE",$AB$3,$AA$3),""))</f>
      </c>
      <c r="L77" s="258" t="s">
        <v>17</v>
      </c>
      <c r="M77" s="259">
        <f>IF(A77="No","",IF(L77="Use Default",IF($F$1="Non-PTE",$AB$4,$AA$4),""))</f>
      </c>
      <c r="N77" s="258" t="s">
        <v>17</v>
      </c>
      <c r="O77" s="800">
        <f>IF(A77="No","",IF(N77="Use Default",IF($F$1="Non-PTE",$AB$5,$AA$5),""))</f>
      </c>
      <c r="P77" s="258" t="s">
        <v>17</v>
      </c>
      <c r="Q77" s="801">
        <f>IF(A77="No","",(IF(P77="Use Default",IF($F$1="Non-PTE",$AB$6,$AA$6),"")))</f>
      </c>
      <c r="R77" s="260"/>
      <c r="S77" s="258" t="s">
        <v>17</v>
      </c>
      <c r="T77" s="303">
        <f>IF(A77="No","",IF(S77="Use Default",IF('MCC Model '!$F$1="Non-PTE",$AB$7,$AA$7),""))</f>
      </c>
      <c r="U77" s="255">
        <f>IF(A77="No","",0.66)</f>
      </c>
      <c r="V77" s="433">
        <f>IF(A77="Yes",(IF(BA77&lt;0,0,BA77)),"")</f>
      </c>
      <c r="W77" s="434">
        <f>IF(A77="Yes",V77*C77*D77,"")</f>
      </c>
      <c r="X77" s="275"/>
      <c r="Y77" s="278"/>
      <c r="Z77" s="278"/>
      <c r="AA77" s="278">
        <f>IF(F67="Non-PTE",AB74,AA74)</f>
        <v>6</v>
      </c>
      <c r="AB77" s="279" t="e">
        <f>IF(AND(N77="Use Default",P77="Use Default"),Q77/O77,IF(AND(N77="Use Local Value",P77="Use Default"),Q77/O78,IF(AND(N77="Use Default",P77="Use Local Value"),Q78/O77,IF(AND(N77="Use Local Value",P77="Use Local Value"),Q78/O78))))*IF($M77="",$M78,$M77)/IF($Q77="",Q78,$Q77)</f>
        <v>#VALUE!</v>
      </c>
      <c r="AC77" s="279" t="e">
        <f>AA77*AB77</f>
        <v>#VALUE!</v>
      </c>
      <c r="AD77" s="279" t="e">
        <f>1/IF(Q77="",Q78,Q77)</f>
        <v>#DIV/0!</v>
      </c>
      <c r="AE77" s="279" t="e">
        <f>AA77*((AC77+AD77)/AC77)^E77</f>
        <v>#VALUE!</v>
      </c>
      <c r="AF77" s="279" t="e">
        <f>AA77/((IF(K77="",K78,K77)/(IF(Q77="",Q78,Q77)*2)))</f>
        <v>#DIV/0!</v>
      </c>
      <c r="AG77" s="279" t="e">
        <f>AF77/2</f>
        <v>#DIV/0!</v>
      </c>
      <c r="AH77" s="279" t="e">
        <f>AE77/((IF(K77="",K78,K77)/(IF(Q77="",Q78,Q77)*2)))</f>
        <v>#VALUE!</v>
      </c>
      <c r="AI77" s="279" t="e">
        <f>AH77/2</f>
        <v>#VALUE!</v>
      </c>
      <c r="AJ77" s="279" t="e">
        <f>AI77-AG77</f>
        <v>#VALUE!</v>
      </c>
      <c r="AK77" s="280" t="e">
        <f>AJ77*IF(F77="Use Default",G77,G78)</f>
        <v>#VALUE!</v>
      </c>
      <c r="AL77" s="279" t="e">
        <f>AA77*IF(K77="",K78,K77)/((IF(K77="",K78,K77)/(IF(Q77="",Q78,Q77)*2)))</f>
        <v>#DIV/0!</v>
      </c>
      <c r="AM77" s="278" t="e">
        <f>AL77/2</f>
        <v>#DIV/0!</v>
      </c>
      <c r="AN77" s="279" t="e">
        <f>AE77*IF(K77="",K78,K77)/((IF(K77="",K78,K77)/(IF(Q77="",Q78,Q77)*2)))</f>
        <v>#VALUE!</v>
      </c>
      <c r="AO77" s="278" t="e">
        <f>AN77/2</f>
        <v>#VALUE!</v>
      </c>
      <c r="AP77" s="278" t="e">
        <f>AO77-AM77</f>
        <v>#VALUE!</v>
      </c>
      <c r="AQ77" s="280" t="e">
        <f>AP77*IF(H77="Use Default",I77,I78)</f>
        <v>#VALUE!</v>
      </c>
      <c r="AR77" s="280" t="e">
        <f>AQ77+AK77</f>
        <v>#VALUE!</v>
      </c>
      <c r="AS77" s="281" t="e">
        <f>(AE77-AA77)/AA77</f>
        <v>#VALUE!</v>
      </c>
      <c r="AT77" s="281" t="e">
        <f>AS77*U77</f>
        <v>#VALUE!</v>
      </c>
      <c r="AU77" s="282" t="e">
        <f>AC77*IF(Q77="",Q78,Q77)*2</f>
        <v>#VALUE!</v>
      </c>
      <c r="AV77" s="278" t="e">
        <f>AU77/2</f>
        <v>#VALUE!</v>
      </c>
      <c r="AW77" s="282" t="e">
        <f>AV77*IF(T77="",T78,T77)</f>
        <v>#VALUE!</v>
      </c>
      <c r="AX77" s="279" t="e">
        <f>AW77*AT77</f>
        <v>#VALUE!</v>
      </c>
      <c r="AY77" s="280" t="e">
        <f>AX77*R77</f>
        <v>#VALUE!</v>
      </c>
      <c r="AZ77" s="280" t="e">
        <f>AX77*'AC model'!$D$18</f>
        <v>#VALUE!</v>
      </c>
      <c r="BA77" s="280" t="e">
        <f>AR77-AY77+AZ77</f>
        <v>#VALUE!</v>
      </c>
      <c r="BB77" s="278"/>
      <c r="BC77" s="278"/>
      <c r="BD77" s="278"/>
      <c r="BE77" s="278"/>
      <c r="BF77" s="278"/>
      <c r="BG77" s="278"/>
      <c r="BH77" s="278"/>
      <c r="BI77" s="278"/>
      <c r="BJ77" s="278"/>
      <c r="BK77" s="278"/>
      <c r="BL77" s="278"/>
      <c r="BM77" s="278"/>
      <c r="BN77" s="278"/>
      <c r="BO77" s="278"/>
      <c r="BP77" s="278"/>
      <c r="BQ77" s="278"/>
      <c r="BR77" s="278"/>
      <c r="BS77" s="278"/>
      <c r="BT77" s="278"/>
      <c r="BU77" s="278"/>
      <c r="BV77" s="278"/>
      <c r="BW77" s="278"/>
      <c r="BX77" s="278"/>
      <c r="BY77" s="278"/>
      <c r="BZ77" s="278"/>
      <c r="CA77" s="278"/>
      <c r="CB77" s="278"/>
      <c r="CC77" s="278"/>
      <c r="CD77" s="278"/>
      <c r="CE77" s="278"/>
      <c r="CF77" s="278"/>
      <c r="CG77" s="278"/>
      <c r="CH77" s="278"/>
      <c r="CI77" s="278"/>
      <c r="CJ77" s="278"/>
      <c r="CK77" s="278"/>
      <c r="CL77" s="278"/>
      <c r="CM77" s="278"/>
      <c r="CN77" s="278"/>
      <c r="CO77" s="278"/>
      <c r="CP77" s="278"/>
      <c r="CQ77" s="278"/>
      <c r="CR77" s="278"/>
      <c r="CS77" s="278"/>
      <c r="CT77" s="278"/>
      <c r="CU77" s="278"/>
      <c r="CV77" s="278"/>
    </row>
    <row r="78" spans="1:100" s="231" customFormat="1" ht="15.75">
      <c r="A78" s="271"/>
      <c r="B78" s="267"/>
      <c r="C78" s="222"/>
      <c r="D78" s="222"/>
      <c r="E78" s="222"/>
      <c r="F78" s="224">
        <f>IF(F77="Use Local Value","Enter Local Value","")</f>
      </c>
      <c r="G78" s="763"/>
      <c r="H78" s="224">
        <f>IF(H77="Use Local Value","Enter Local Value","")</f>
      </c>
      <c r="I78" s="763"/>
      <c r="J78" s="224">
        <f>IF(J77="Use Local Value","Enter Local Value","")</f>
      </c>
      <c r="K78" s="225"/>
      <c r="L78" s="224">
        <f>IF(L77="Use Local Value","Enter Local Value","")</f>
      </c>
      <c r="M78" s="226"/>
      <c r="N78" s="224">
        <f>IF(N77="Use Local Value","Enter Local Value","")</f>
      </c>
      <c r="O78" s="226"/>
      <c r="P78" s="224">
        <f>IF(P77="Use Local Value","Enter Local Value","")</f>
      </c>
      <c r="Q78" s="226"/>
      <c r="R78" s="222"/>
      <c r="S78" s="224">
        <f>IF(S77="Use Local Value","Enter Local Value","")</f>
      </c>
      <c r="T78" s="304"/>
      <c r="U78" s="222"/>
      <c r="V78" s="222"/>
      <c r="W78" s="245"/>
      <c r="X78" s="245"/>
      <c r="Y78" s="246"/>
      <c r="Z78" s="246"/>
      <c r="AA78" s="246"/>
      <c r="AB78" s="246"/>
      <c r="AC78" s="246"/>
      <c r="AD78" s="246"/>
      <c r="AE78" s="246"/>
      <c r="AF78" s="246"/>
      <c r="AG78" s="246"/>
      <c r="AH78" s="246"/>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7"/>
      <c r="BH78" s="247"/>
      <c r="BI78" s="246"/>
      <c r="BJ78" s="246"/>
      <c r="BK78" s="246"/>
      <c r="BL78" s="246"/>
      <c r="BM78" s="246"/>
      <c r="BN78" s="246"/>
      <c r="BO78" s="246"/>
      <c r="BP78" s="246"/>
      <c r="BQ78" s="246"/>
      <c r="BR78" s="246"/>
      <c r="BS78" s="246"/>
      <c r="BT78" s="246"/>
      <c r="BU78" s="246"/>
      <c r="BV78" s="246"/>
      <c r="BW78" s="246"/>
      <c r="BX78" s="246"/>
      <c r="BY78" s="246"/>
      <c r="BZ78" s="246"/>
      <c r="CA78" s="246"/>
      <c r="CB78" s="246"/>
      <c r="CC78" s="246"/>
      <c r="CD78" s="246"/>
      <c r="CE78" s="246"/>
      <c r="CF78" s="246"/>
      <c r="CG78" s="246"/>
      <c r="CH78" s="246"/>
      <c r="CI78" s="246"/>
      <c r="CJ78" s="246"/>
      <c r="CK78" s="246"/>
      <c r="CL78" s="246"/>
      <c r="CM78" s="246"/>
      <c r="CN78" s="246"/>
      <c r="CO78" s="246"/>
      <c r="CP78" s="246"/>
      <c r="CQ78" s="246"/>
      <c r="CR78" s="246"/>
      <c r="CS78" s="246"/>
      <c r="CT78" s="246"/>
      <c r="CU78" s="246"/>
      <c r="CV78" s="246"/>
    </row>
    <row r="79" spans="1:100" s="248" customFormat="1" ht="17.25" customHeight="1" thickBot="1">
      <c r="A79" s="272"/>
      <c r="B79" s="268"/>
      <c r="C79" s="249"/>
      <c r="D79" s="249"/>
      <c r="E79" s="249"/>
      <c r="F79" s="249"/>
      <c r="G79" s="249"/>
      <c r="H79" s="249"/>
      <c r="I79" s="249"/>
      <c r="J79" s="250"/>
      <c r="K79" s="251"/>
      <c r="L79" s="250"/>
      <c r="M79" s="252"/>
      <c r="N79" s="250"/>
      <c r="O79" s="252"/>
      <c r="P79" s="250"/>
      <c r="Q79" s="252"/>
      <c r="R79" s="249"/>
      <c r="S79" s="250"/>
      <c r="T79" s="305"/>
      <c r="U79" s="249"/>
      <c r="V79" s="249"/>
      <c r="W79" s="249"/>
      <c r="X79" s="276"/>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284"/>
      <c r="BH79" s="284"/>
      <c r="BI79" s="283"/>
      <c r="BJ79" s="283"/>
      <c r="BK79" s="283"/>
      <c r="BL79" s="283"/>
      <c r="BM79" s="283"/>
      <c r="BN79" s="283"/>
      <c r="BO79" s="283"/>
      <c r="BP79" s="283"/>
      <c r="BQ79" s="283"/>
      <c r="BR79" s="283"/>
      <c r="BS79" s="283"/>
      <c r="BT79" s="283"/>
      <c r="BU79" s="283"/>
      <c r="BV79" s="283"/>
      <c r="BW79" s="283"/>
      <c r="BX79" s="283"/>
      <c r="BY79" s="283"/>
      <c r="BZ79" s="283"/>
      <c r="CA79" s="283"/>
      <c r="CB79" s="283"/>
      <c r="CC79" s="283"/>
      <c r="CD79" s="283"/>
      <c r="CE79" s="283"/>
      <c r="CF79" s="283"/>
      <c r="CG79" s="283"/>
      <c r="CH79" s="283"/>
      <c r="CI79" s="283"/>
      <c r="CJ79" s="283"/>
      <c r="CK79" s="283"/>
      <c r="CL79" s="283"/>
      <c r="CM79" s="283"/>
      <c r="CN79" s="283"/>
      <c r="CO79" s="283"/>
      <c r="CP79" s="283"/>
      <c r="CQ79" s="283"/>
      <c r="CR79" s="283"/>
      <c r="CS79" s="283"/>
      <c r="CT79" s="283"/>
      <c r="CU79" s="283"/>
      <c r="CV79" s="283"/>
    </row>
    <row r="80" spans="1:100" s="253" customFormat="1" ht="15.75">
      <c r="A80" s="270" t="s">
        <v>30</v>
      </c>
      <c r="B80" s="266" t="s">
        <v>380</v>
      </c>
      <c r="C80" s="802">
        <f>IF(A80="No","",1-'RF model'!$C$14)</f>
      </c>
      <c r="D80" s="254"/>
      <c r="E80" s="255">
        <f>IF(A80="No","",0.6)</f>
      </c>
      <c r="F80" s="762" t="s">
        <v>17</v>
      </c>
      <c r="G80" s="256">
        <f>IF(A80="No","",IF(F80="Use Default",13.3*(VLOOKUP('Start Page'!$G$4,'RF Workings'!$E$3:$G$13,2)/'RF Workings'!$F$7),""))</f>
      </c>
      <c r="H80" s="762" t="s">
        <v>17</v>
      </c>
      <c r="I80" s="256">
        <f>IF(A80="No","",IF(H80="Use Default",0.7*(VLOOKUP('Start Page'!$G$4,'RF Workings'!$E$3:$G$13,2)/'RF Workings'!$F$7),""))</f>
      </c>
      <c r="J80" s="257" t="s">
        <v>17</v>
      </c>
      <c r="K80" s="801">
        <f>IF(A80="No","",IF(J80="Use Default",IF($F$1="Non-PTE",$AB$3,$AA$3),""))</f>
      </c>
      <c r="L80" s="258" t="s">
        <v>17</v>
      </c>
      <c r="M80" s="259">
        <f>IF(A80="No","",IF(L80="Use Default",IF($F$1="Non-PTE",$AB$4,$AA$4),""))</f>
      </c>
      <c r="N80" s="258" t="s">
        <v>17</v>
      </c>
      <c r="O80" s="800">
        <f>IF(A80="No","",IF(N80="Use Default",IF($F$1="Non-PTE",$AB$5,$AA$5),""))</f>
      </c>
      <c r="P80" s="258" t="s">
        <v>17</v>
      </c>
      <c r="Q80" s="801">
        <f>IF(A80="No","",(IF(P80="Use Default",IF($F$1="Non-PTE",$AB$6,$AA$6),"")))</f>
      </c>
      <c r="R80" s="260"/>
      <c r="S80" s="258" t="s">
        <v>17</v>
      </c>
      <c r="T80" s="303">
        <f>IF(A80="No","",IF(S80="Use Default",IF('MCC Model '!$F$1="Non-PTE",$AB$7,$AA$7),""))</f>
      </c>
      <c r="U80" s="255">
        <f>IF(A80="No","",0.66)</f>
      </c>
      <c r="V80" s="433">
        <f>IF(A80="Yes",(IF(BA80&lt;0,0,BA80)),"")</f>
      </c>
      <c r="W80" s="434">
        <f>IF(A80="Yes",V80*C80*D80,"")</f>
      </c>
      <c r="X80" s="275"/>
      <c r="Y80" s="278"/>
      <c r="Z80" s="278"/>
      <c r="AA80" s="278">
        <f>IF(F70="Non-PTE",AB77,AA77)</f>
        <v>6</v>
      </c>
      <c r="AB80" s="279" t="e">
        <f>IF(AND(N80="Use Default",P80="Use Default"),Q80/O80,IF(AND(N80="Use Local Value",P80="Use Default"),Q80/O81,IF(AND(N80="Use Default",P80="Use Local Value"),Q81/O80,IF(AND(N80="Use Local Value",P80="Use Local Value"),Q81/O81))))*IF($M80="",$M81,$M80)/IF($Q80="",Q81,$Q80)</f>
        <v>#VALUE!</v>
      </c>
      <c r="AC80" s="279" t="e">
        <f>AA80*AB80</f>
        <v>#VALUE!</v>
      </c>
      <c r="AD80" s="279" t="e">
        <f>1/IF(Q80="",Q81,Q80)</f>
        <v>#DIV/0!</v>
      </c>
      <c r="AE80" s="279" t="e">
        <f>AA80*((AC80+AD80)/AC80)^E80</f>
        <v>#VALUE!</v>
      </c>
      <c r="AF80" s="279" t="e">
        <f>AA80/((IF(K80="",K81,K80)/(IF(Q80="",Q81,Q80)*2)))</f>
        <v>#DIV/0!</v>
      </c>
      <c r="AG80" s="279" t="e">
        <f>AF80/2</f>
        <v>#DIV/0!</v>
      </c>
      <c r="AH80" s="279" t="e">
        <f>AE80/((IF(K80="",K81,K80)/(IF(Q80="",Q81,Q80)*2)))</f>
        <v>#VALUE!</v>
      </c>
      <c r="AI80" s="279" t="e">
        <f>AH80/2</f>
        <v>#VALUE!</v>
      </c>
      <c r="AJ80" s="279" t="e">
        <f>AI80-AG80</f>
        <v>#VALUE!</v>
      </c>
      <c r="AK80" s="280" t="e">
        <f>AJ80*IF(F80="Use Default",G80,G81)</f>
        <v>#VALUE!</v>
      </c>
      <c r="AL80" s="279" t="e">
        <f>AA80*IF(K80="",K81,K80)/((IF(K80="",K81,K80)/(IF(Q80="",Q81,Q80)*2)))</f>
        <v>#DIV/0!</v>
      </c>
      <c r="AM80" s="278" t="e">
        <f>AL80/2</f>
        <v>#DIV/0!</v>
      </c>
      <c r="AN80" s="279" t="e">
        <f>AE80*IF(K80="",K81,K80)/((IF(K80="",K81,K80)/(IF(Q80="",Q81,Q80)*2)))</f>
        <v>#VALUE!</v>
      </c>
      <c r="AO80" s="278" t="e">
        <f>AN80/2</f>
        <v>#VALUE!</v>
      </c>
      <c r="AP80" s="278" t="e">
        <f>AO80-AM80</f>
        <v>#VALUE!</v>
      </c>
      <c r="AQ80" s="280" t="e">
        <f>AP80*IF(H80="Use Default",I80,I81)</f>
        <v>#VALUE!</v>
      </c>
      <c r="AR80" s="280" t="e">
        <f>AQ80+AK80</f>
        <v>#VALUE!</v>
      </c>
      <c r="AS80" s="281" t="e">
        <f>(AE80-AA80)/AA80</f>
        <v>#VALUE!</v>
      </c>
      <c r="AT80" s="281" t="e">
        <f>AS80*U80</f>
        <v>#VALUE!</v>
      </c>
      <c r="AU80" s="282" t="e">
        <f>AC80*IF(Q80="",Q81,Q80)*2</f>
        <v>#VALUE!</v>
      </c>
      <c r="AV80" s="278" t="e">
        <f>AU80/2</f>
        <v>#VALUE!</v>
      </c>
      <c r="AW80" s="282" t="e">
        <f>AV80*IF(T80="",T81,T80)</f>
        <v>#VALUE!</v>
      </c>
      <c r="AX80" s="279" t="e">
        <f>AW80*AT80</f>
        <v>#VALUE!</v>
      </c>
      <c r="AY80" s="280" t="e">
        <f>AX80*R80</f>
        <v>#VALUE!</v>
      </c>
      <c r="AZ80" s="280" t="e">
        <f>AX80*'AC model'!$D$18</f>
        <v>#VALUE!</v>
      </c>
      <c r="BA80" s="280" t="e">
        <f>AR80-AY80+AZ80</f>
        <v>#VALUE!</v>
      </c>
      <c r="BB80" s="278"/>
      <c r="BC80" s="278"/>
      <c r="BD80" s="278"/>
      <c r="BE80" s="278"/>
      <c r="BF80" s="278"/>
      <c r="BG80" s="278"/>
      <c r="BH80" s="278"/>
      <c r="BI80" s="278"/>
      <c r="BJ80" s="278"/>
      <c r="BK80" s="278"/>
      <c r="BL80" s="278"/>
      <c r="BM80" s="278"/>
      <c r="BN80" s="278"/>
      <c r="BO80" s="278"/>
      <c r="BP80" s="278"/>
      <c r="BQ80" s="278"/>
      <c r="BR80" s="278"/>
      <c r="BS80" s="278"/>
      <c r="BT80" s="278"/>
      <c r="BU80" s="278"/>
      <c r="BV80" s="278"/>
      <c r="BW80" s="278"/>
      <c r="BX80" s="278"/>
      <c r="BY80" s="278"/>
      <c r="BZ80" s="278"/>
      <c r="CA80" s="278"/>
      <c r="CB80" s="278"/>
      <c r="CC80" s="278"/>
      <c r="CD80" s="278"/>
      <c r="CE80" s="278"/>
      <c r="CF80" s="278"/>
      <c r="CG80" s="278"/>
      <c r="CH80" s="278"/>
      <c r="CI80" s="278"/>
      <c r="CJ80" s="278"/>
      <c r="CK80" s="278"/>
      <c r="CL80" s="278"/>
      <c r="CM80" s="278"/>
      <c r="CN80" s="278"/>
      <c r="CO80" s="278"/>
      <c r="CP80" s="278"/>
      <c r="CQ80" s="278"/>
      <c r="CR80" s="278"/>
      <c r="CS80" s="278"/>
      <c r="CT80" s="278"/>
      <c r="CU80" s="278"/>
      <c r="CV80" s="278"/>
    </row>
    <row r="81" spans="1:100" s="231" customFormat="1" ht="15.75">
      <c r="A81" s="271"/>
      <c r="B81" s="267"/>
      <c r="C81" s="222"/>
      <c r="D81" s="222"/>
      <c r="E81" s="222"/>
      <c r="F81" s="224">
        <f>IF(F80="Use Local Value","Enter Local Value","")</f>
      </c>
      <c r="G81" s="763"/>
      <c r="H81" s="224">
        <f>IF(H80="Use Local Value","Enter Local Value","")</f>
      </c>
      <c r="I81" s="763"/>
      <c r="J81" s="224">
        <f>IF(J80="Use Local Value","Enter Local Value","")</f>
      </c>
      <c r="K81" s="225"/>
      <c r="L81" s="224">
        <f>IF(L80="Use Local Value","Enter Local Value","")</f>
      </c>
      <c r="M81" s="226"/>
      <c r="N81" s="224">
        <f>IF(N80="Use Local Value","Enter Local Value","")</f>
      </c>
      <c r="O81" s="226"/>
      <c r="P81" s="224">
        <f>IF(P80="Use Local Value","Enter Local Value","")</f>
      </c>
      <c r="Q81" s="226"/>
      <c r="R81" s="222"/>
      <c r="S81" s="224">
        <f>IF(S80="Use Local Value","Enter Local Value","")</f>
      </c>
      <c r="T81" s="304"/>
      <c r="U81" s="222"/>
      <c r="V81" s="222"/>
      <c r="W81" s="245"/>
      <c r="X81" s="245"/>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7"/>
      <c r="BH81" s="247"/>
      <c r="BI81" s="246"/>
      <c r="BJ81" s="246"/>
      <c r="BK81" s="246"/>
      <c r="BL81" s="246"/>
      <c r="BM81" s="246"/>
      <c r="BN81" s="246"/>
      <c r="BO81" s="246"/>
      <c r="BP81" s="246"/>
      <c r="BQ81" s="246"/>
      <c r="BR81" s="246"/>
      <c r="BS81" s="246"/>
      <c r="BT81" s="246"/>
      <c r="BU81" s="246"/>
      <c r="BV81" s="246"/>
      <c r="BW81" s="246"/>
      <c r="BX81" s="246"/>
      <c r="BY81" s="246"/>
      <c r="BZ81" s="246"/>
      <c r="CA81" s="246"/>
      <c r="CB81" s="246"/>
      <c r="CC81" s="246"/>
      <c r="CD81" s="246"/>
      <c r="CE81" s="246"/>
      <c r="CF81" s="246"/>
      <c r="CG81" s="246"/>
      <c r="CH81" s="246"/>
      <c r="CI81" s="246"/>
      <c r="CJ81" s="246"/>
      <c r="CK81" s="246"/>
      <c r="CL81" s="246"/>
      <c r="CM81" s="246"/>
      <c r="CN81" s="246"/>
      <c r="CO81" s="246"/>
      <c r="CP81" s="246"/>
      <c r="CQ81" s="246"/>
      <c r="CR81" s="246"/>
      <c r="CS81" s="246"/>
      <c r="CT81" s="246"/>
      <c r="CU81" s="246"/>
      <c r="CV81" s="246"/>
    </row>
    <row r="82" spans="1:100" s="248" customFormat="1" ht="17.25" customHeight="1" thickBot="1">
      <c r="A82" s="272"/>
      <c r="B82" s="268"/>
      <c r="C82" s="249"/>
      <c r="D82" s="249"/>
      <c r="E82" s="249"/>
      <c r="F82" s="249"/>
      <c r="G82" s="249"/>
      <c r="H82" s="249"/>
      <c r="I82" s="249"/>
      <c r="J82" s="250"/>
      <c r="K82" s="251"/>
      <c r="L82" s="250"/>
      <c r="M82" s="252"/>
      <c r="N82" s="250"/>
      <c r="O82" s="252"/>
      <c r="P82" s="250"/>
      <c r="Q82" s="252"/>
      <c r="R82" s="249"/>
      <c r="S82" s="250"/>
      <c r="T82" s="305"/>
      <c r="U82" s="249"/>
      <c r="V82" s="249"/>
      <c r="W82" s="249"/>
      <c r="X82" s="276"/>
      <c r="Y82" s="283"/>
      <c r="Z82" s="283"/>
      <c r="AA82" s="283"/>
      <c r="AB82" s="283"/>
      <c r="AC82" s="283"/>
      <c r="AD82" s="283"/>
      <c r="AE82" s="283"/>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4"/>
      <c r="BH82" s="284"/>
      <c r="BI82" s="283"/>
      <c r="BJ82" s="283"/>
      <c r="BK82" s="283"/>
      <c r="BL82" s="283"/>
      <c r="BM82" s="283"/>
      <c r="BN82" s="283"/>
      <c r="BO82" s="283"/>
      <c r="BP82" s="283"/>
      <c r="BQ82" s="283"/>
      <c r="BR82" s="283"/>
      <c r="BS82" s="283"/>
      <c r="BT82" s="283"/>
      <c r="BU82" s="283"/>
      <c r="BV82" s="283"/>
      <c r="BW82" s="283"/>
      <c r="BX82" s="283"/>
      <c r="BY82" s="283"/>
      <c r="BZ82" s="283"/>
      <c r="CA82" s="283"/>
      <c r="CB82" s="283"/>
      <c r="CC82" s="283"/>
      <c r="CD82" s="283"/>
      <c r="CE82" s="283"/>
      <c r="CF82" s="283"/>
      <c r="CG82" s="283"/>
      <c r="CH82" s="283"/>
      <c r="CI82" s="283"/>
      <c r="CJ82" s="283"/>
      <c r="CK82" s="283"/>
      <c r="CL82" s="283"/>
      <c r="CM82" s="283"/>
      <c r="CN82" s="283"/>
      <c r="CO82" s="283"/>
      <c r="CP82" s="283"/>
      <c r="CQ82" s="283"/>
      <c r="CR82" s="283"/>
      <c r="CS82" s="283"/>
      <c r="CT82" s="283"/>
      <c r="CU82" s="283"/>
      <c r="CV82" s="283"/>
    </row>
    <row r="83" spans="1:100" s="253" customFormat="1" ht="15.75">
      <c r="A83" s="270" t="s">
        <v>30</v>
      </c>
      <c r="B83" s="266" t="s">
        <v>380</v>
      </c>
      <c r="C83" s="802">
        <f>IF(A83="No","",1-'RF model'!$C$14)</f>
      </c>
      <c r="D83" s="254"/>
      <c r="E83" s="255">
        <f>IF(A83="No","",0.6)</f>
      </c>
      <c r="F83" s="762" t="s">
        <v>17</v>
      </c>
      <c r="G83" s="256">
        <f>IF(A83="No","",IF(F83="Use Default",13.3*(VLOOKUP('Start Page'!$G$4,'RF Workings'!$E$3:$G$13,2)/'RF Workings'!$F$7),""))</f>
      </c>
      <c r="H83" s="762" t="s">
        <v>17</v>
      </c>
      <c r="I83" s="256">
        <f>IF(A83="No","",IF(H83="Use Default",0.7*(VLOOKUP('Start Page'!$G$4,'RF Workings'!$E$3:$G$13,2)/'RF Workings'!$F$7),""))</f>
      </c>
      <c r="J83" s="257" t="s">
        <v>17</v>
      </c>
      <c r="K83" s="801">
        <f>IF(A83="No","",IF(J83="Use Default",IF($F$1="Non-PTE",$AB$3,$AA$3),""))</f>
      </c>
      <c r="L83" s="258" t="s">
        <v>17</v>
      </c>
      <c r="M83" s="259">
        <f>IF(A83="No","",IF(L83="Use Default",IF($F$1="Non-PTE",$AB$4,$AA$4),""))</f>
      </c>
      <c r="N83" s="258" t="s">
        <v>17</v>
      </c>
      <c r="O83" s="800">
        <f>IF(A83="No","",IF(N83="Use Default",IF($F$1="Non-PTE",$AB$5,$AA$5),""))</f>
      </c>
      <c r="P83" s="258" t="s">
        <v>17</v>
      </c>
      <c r="Q83" s="801">
        <f>IF(A83="No","",(IF(P83="Use Default",IF($F$1="Non-PTE",$AB$6,$AA$6),"")))</f>
      </c>
      <c r="R83" s="260"/>
      <c r="S83" s="258" t="s">
        <v>17</v>
      </c>
      <c r="T83" s="303">
        <f>IF(A83="No","",IF(S83="Use Default",IF('MCC Model '!$F$1="Non-PTE",$AB$7,$AA$7),""))</f>
      </c>
      <c r="U83" s="255">
        <f>IF(A83="No","",0.66)</f>
      </c>
      <c r="V83" s="433">
        <f>IF(A83="Yes",(IF(BA83&lt;0,0,BA83)),"")</f>
      </c>
      <c r="W83" s="434">
        <f>IF(A83="Yes",V83*C83*D83,"")</f>
      </c>
      <c r="X83" s="275"/>
      <c r="Y83" s="278"/>
      <c r="Z83" s="278"/>
      <c r="AA83" s="278">
        <f>IF(F73="Non-PTE",AB80,AA80)</f>
        <v>6</v>
      </c>
      <c r="AB83" s="279" t="e">
        <f>IF(AND(N83="Use Default",P83="Use Default"),Q83/O83,IF(AND(N83="Use Local Value",P83="Use Default"),Q83/O84,IF(AND(N83="Use Default",P83="Use Local Value"),Q84/O83,IF(AND(N83="Use Local Value",P83="Use Local Value"),Q84/O84))))*IF($M83="",$M84,$M83)/IF($Q83="",Q84,$Q83)</f>
        <v>#VALUE!</v>
      </c>
      <c r="AC83" s="279" t="e">
        <f>AA83*AB83</f>
        <v>#VALUE!</v>
      </c>
      <c r="AD83" s="279" t="e">
        <f>1/IF(Q83="",Q84,Q83)</f>
        <v>#DIV/0!</v>
      </c>
      <c r="AE83" s="279" t="e">
        <f>AA83*((AC83+AD83)/AC83)^E83</f>
        <v>#VALUE!</v>
      </c>
      <c r="AF83" s="279" t="e">
        <f>AA83/((IF(K83="",K84,K83)/(IF(Q83="",Q84,Q83)*2)))</f>
        <v>#DIV/0!</v>
      </c>
      <c r="AG83" s="279" t="e">
        <f>AF83/2</f>
        <v>#DIV/0!</v>
      </c>
      <c r="AH83" s="279" t="e">
        <f>AE83/((IF(K83="",K84,K83)/(IF(Q83="",Q84,Q83)*2)))</f>
        <v>#VALUE!</v>
      </c>
      <c r="AI83" s="279" t="e">
        <f>AH83/2</f>
        <v>#VALUE!</v>
      </c>
      <c r="AJ83" s="279" t="e">
        <f>AI83-AG83</f>
        <v>#VALUE!</v>
      </c>
      <c r="AK83" s="280" t="e">
        <f>AJ83*IF(F83="Use Default",G83,G84)</f>
        <v>#VALUE!</v>
      </c>
      <c r="AL83" s="279" t="e">
        <f>AA83*IF(K83="",K84,K83)/((IF(K83="",K84,K83)/(IF(Q83="",Q84,Q83)*2)))</f>
        <v>#DIV/0!</v>
      </c>
      <c r="AM83" s="278" t="e">
        <f>AL83/2</f>
        <v>#DIV/0!</v>
      </c>
      <c r="AN83" s="279" t="e">
        <f>AE83*IF(K83="",K84,K83)/((IF(K83="",K84,K83)/(IF(Q83="",Q84,Q83)*2)))</f>
        <v>#VALUE!</v>
      </c>
      <c r="AO83" s="278" t="e">
        <f>AN83/2</f>
        <v>#VALUE!</v>
      </c>
      <c r="AP83" s="278" t="e">
        <f>AO83-AM83</f>
        <v>#VALUE!</v>
      </c>
      <c r="AQ83" s="280" t="e">
        <f>AP83*IF(H83="Use Default",I83,I84)</f>
        <v>#VALUE!</v>
      </c>
      <c r="AR83" s="280" t="e">
        <f>AQ83+AK83</f>
        <v>#VALUE!</v>
      </c>
      <c r="AS83" s="281" t="e">
        <f>(AE83-AA83)/AA83</f>
        <v>#VALUE!</v>
      </c>
      <c r="AT83" s="281" t="e">
        <f>AS83*U83</f>
        <v>#VALUE!</v>
      </c>
      <c r="AU83" s="282" t="e">
        <f>AC83*IF(Q83="",Q84,Q83)*2</f>
        <v>#VALUE!</v>
      </c>
      <c r="AV83" s="278" t="e">
        <f>AU83/2</f>
        <v>#VALUE!</v>
      </c>
      <c r="AW83" s="282" t="e">
        <f>AV83*IF(T83="",T84,T83)</f>
        <v>#VALUE!</v>
      </c>
      <c r="AX83" s="279" t="e">
        <f>AW83*AT83</f>
        <v>#VALUE!</v>
      </c>
      <c r="AY83" s="280" t="e">
        <f>AX83*R83</f>
        <v>#VALUE!</v>
      </c>
      <c r="AZ83" s="280" t="e">
        <f>AX83*'AC model'!$D$18</f>
        <v>#VALUE!</v>
      </c>
      <c r="BA83" s="280" t="e">
        <f>AR83-AY83+AZ83</f>
        <v>#VALUE!</v>
      </c>
      <c r="BB83" s="278"/>
      <c r="BC83" s="278"/>
      <c r="BD83" s="278"/>
      <c r="BE83" s="278"/>
      <c r="BF83" s="278"/>
      <c r="BG83" s="278"/>
      <c r="BH83" s="278"/>
      <c r="BI83" s="278"/>
      <c r="BJ83" s="278"/>
      <c r="BK83" s="278"/>
      <c r="BL83" s="278"/>
      <c r="BM83" s="278"/>
      <c r="BN83" s="278"/>
      <c r="BO83" s="278"/>
      <c r="BP83" s="278"/>
      <c r="BQ83" s="278"/>
      <c r="BR83" s="278"/>
      <c r="BS83" s="278"/>
      <c r="BT83" s="278"/>
      <c r="BU83" s="278"/>
      <c r="BV83" s="278"/>
      <c r="BW83" s="278"/>
      <c r="BX83" s="278"/>
      <c r="BY83" s="278"/>
      <c r="BZ83" s="278"/>
      <c r="CA83" s="278"/>
      <c r="CB83" s="278"/>
      <c r="CC83" s="278"/>
      <c r="CD83" s="278"/>
      <c r="CE83" s="278"/>
      <c r="CF83" s="278"/>
      <c r="CG83" s="278"/>
      <c r="CH83" s="278"/>
      <c r="CI83" s="278"/>
      <c r="CJ83" s="278"/>
      <c r="CK83" s="278"/>
      <c r="CL83" s="278"/>
      <c r="CM83" s="278"/>
      <c r="CN83" s="278"/>
      <c r="CO83" s="278"/>
      <c r="CP83" s="278"/>
      <c r="CQ83" s="278"/>
      <c r="CR83" s="278"/>
      <c r="CS83" s="278"/>
      <c r="CT83" s="278"/>
      <c r="CU83" s="278"/>
      <c r="CV83" s="278"/>
    </row>
    <row r="84" spans="1:100" s="231" customFormat="1" ht="15.75">
      <c r="A84" s="271"/>
      <c r="B84" s="267"/>
      <c r="C84" s="222"/>
      <c r="D84" s="222"/>
      <c r="E84" s="222"/>
      <c r="F84" s="224">
        <f>IF(F83="Use Local Value","Enter Local Value","")</f>
      </c>
      <c r="G84" s="763"/>
      <c r="H84" s="224">
        <f>IF(H83="Use Local Value","Enter Local Value","")</f>
      </c>
      <c r="I84" s="763"/>
      <c r="J84" s="224">
        <f>IF(J83="Use Local Value","Enter Local Value","")</f>
      </c>
      <c r="K84" s="225"/>
      <c r="L84" s="224">
        <f>IF(L83="Use Local Value","Enter Local Value","")</f>
      </c>
      <c r="M84" s="226"/>
      <c r="N84" s="224">
        <f>IF(N83="Use Local Value","Enter Local Value","")</f>
      </c>
      <c r="O84" s="226"/>
      <c r="P84" s="224">
        <f>IF(P83="Use Local Value","Enter Local Value","")</f>
      </c>
      <c r="Q84" s="226"/>
      <c r="R84" s="222"/>
      <c r="S84" s="224">
        <f>IF(S83="Use Local Value","Enter Local Value","")</f>
      </c>
      <c r="T84" s="304"/>
      <c r="U84" s="222"/>
      <c r="V84" s="222"/>
      <c r="W84" s="245"/>
      <c r="X84" s="245"/>
      <c r="Y84" s="246"/>
      <c r="Z84" s="246"/>
      <c r="AA84" s="246"/>
      <c r="AB84" s="246"/>
      <c r="AC84" s="246"/>
      <c r="AD84" s="246"/>
      <c r="AE84" s="246"/>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7"/>
      <c r="BH84" s="247"/>
      <c r="BI84" s="246"/>
      <c r="BJ84" s="246"/>
      <c r="BK84" s="246"/>
      <c r="BL84" s="246"/>
      <c r="BM84" s="246"/>
      <c r="BN84" s="246"/>
      <c r="BO84" s="246"/>
      <c r="BP84" s="246"/>
      <c r="BQ84" s="246"/>
      <c r="BR84" s="246"/>
      <c r="BS84" s="246"/>
      <c r="BT84" s="246"/>
      <c r="BU84" s="246"/>
      <c r="BV84" s="246"/>
      <c r="BW84" s="246"/>
      <c r="BX84" s="246"/>
      <c r="BY84" s="246"/>
      <c r="BZ84" s="246"/>
      <c r="CA84" s="246"/>
      <c r="CB84" s="246"/>
      <c r="CC84" s="246"/>
      <c r="CD84" s="246"/>
      <c r="CE84" s="246"/>
      <c r="CF84" s="246"/>
      <c r="CG84" s="246"/>
      <c r="CH84" s="246"/>
      <c r="CI84" s="246"/>
      <c r="CJ84" s="246"/>
      <c r="CK84" s="246"/>
      <c r="CL84" s="246"/>
      <c r="CM84" s="246"/>
      <c r="CN84" s="246"/>
      <c r="CO84" s="246"/>
      <c r="CP84" s="246"/>
      <c r="CQ84" s="246"/>
      <c r="CR84" s="246"/>
      <c r="CS84" s="246"/>
      <c r="CT84" s="246"/>
      <c r="CU84" s="246"/>
      <c r="CV84" s="246"/>
    </row>
    <row r="85" spans="1:100" s="248" customFormat="1" ht="17.25" customHeight="1" thickBot="1">
      <c r="A85" s="272"/>
      <c r="B85" s="268"/>
      <c r="C85" s="249"/>
      <c r="D85" s="249"/>
      <c r="E85" s="249"/>
      <c r="F85" s="249"/>
      <c r="G85" s="249"/>
      <c r="H85" s="249"/>
      <c r="I85" s="249"/>
      <c r="J85" s="250"/>
      <c r="K85" s="251"/>
      <c r="L85" s="250"/>
      <c r="M85" s="252"/>
      <c r="N85" s="250"/>
      <c r="O85" s="252"/>
      <c r="P85" s="250"/>
      <c r="Q85" s="252"/>
      <c r="R85" s="249"/>
      <c r="S85" s="250"/>
      <c r="T85" s="305"/>
      <c r="U85" s="249"/>
      <c r="V85" s="249"/>
      <c r="W85" s="249"/>
      <c r="X85" s="276"/>
      <c r="Y85" s="283"/>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4"/>
      <c r="BH85" s="284"/>
      <c r="BI85" s="283"/>
      <c r="BJ85" s="283"/>
      <c r="BK85" s="283"/>
      <c r="BL85" s="283"/>
      <c r="BM85" s="283"/>
      <c r="BN85" s="283"/>
      <c r="BO85" s="283"/>
      <c r="BP85" s="283"/>
      <c r="BQ85" s="283"/>
      <c r="BR85" s="283"/>
      <c r="BS85" s="283"/>
      <c r="BT85" s="283"/>
      <c r="BU85" s="283"/>
      <c r="BV85" s="283"/>
      <c r="BW85" s="283"/>
      <c r="BX85" s="283"/>
      <c r="BY85" s="283"/>
      <c r="BZ85" s="283"/>
      <c r="CA85" s="283"/>
      <c r="CB85" s="283"/>
      <c r="CC85" s="283"/>
      <c r="CD85" s="283"/>
      <c r="CE85" s="283"/>
      <c r="CF85" s="283"/>
      <c r="CG85" s="283"/>
      <c r="CH85" s="283"/>
      <c r="CI85" s="283"/>
      <c r="CJ85" s="283"/>
      <c r="CK85" s="283"/>
      <c r="CL85" s="283"/>
      <c r="CM85" s="283"/>
      <c r="CN85" s="283"/>
      <c r="CO85" s="283"/>
      <c r="CP85" s="283"/>
      <c r="CQ85" s="283"/>
      <c r="CR85" s="283"/>
      <c r="CS85" s="283"/>
      <c r="CT85" s="283"/>
      <c r="CU85" s="283"/>
      <c r="CV85" s="283"/>
    </row>
    <row r="86" spans="1:100" s="253" customFormat="1" ht="15.75">
      <c r="A86" s="270" t="s">
        <v>30</v>
      </c>
      <c r="B86" s="266" t="s">
        <v>380</v>
      </c>
      <c r="C86" s="802">
        <f>IF(A86="No","",1-'RF model'!$C$14)</f>
      </c>
      <c r="D86" s="254"/>
      <c r="E86" s="255">
        <f>IF(A86="No","",0.6)</f>
      </c>
      <c r="F86" s="762" t="s">
        <v>17</v>
      </c>
      <c r="G86" s="256">
        <f>IF(A86="No","",IF(F86="Use Default",13.3*(VLOOKUP('Start Page'!$G$4,'RF Workings'!$E$3:$G$13,2)/'RF Workings'!$F$7),""))</f>
      </c>
      <c r="H86" s="762" t="s">
        <v>17</v>
      </c>
      <c r="I86" s="256">
        <f>IF(A86="No","",IF(H86="Use Default",0.7*(VLOOKUP('Start Page'!$G$4,'RF Workings'!$E$3:$G$13,2)/'RF Workings'!$F$7),""))</f>
      </c>
      <c r="J86" s="257" t="s">
        <v>17</v>
      </c>
      <c r="K86" s="801">
        <f>IF(A86="No","",IF(J86="Use Default",IF($F$1="Non-PTE",$AB$3,$AA$3),""))</f>
      </c>
      <c r="L86" s="258" t="s">
        <v>17</v>
      </c>
      <c r="M86" s="259">
        <f>IF(A86="No","",IF(L86="Use Default",IF($F$1="Non-PTE",$AB$4,$AA$4),""))</f>
      </c>
      <c r="N86" s="258" t="s">
        <v>17</v>
      </c>
      <c r="O86" s="800">
        <f>IF(A86="No","",IF(N86="Use Default",IF($F$1="Non-PTE",$AB$5,$AA$5),""))</f>
      </c>
      <c r="P86" s="258" t="s">
        <v>17</v>
      </c>
      <c r="Q86" s="801">
        <f>IF(A86="No","",(IF(P86="Use Default",IF($F$1="Non-PTE",$AB$6,$AA$6),"")))</f>
      </c>
      <c r="R86" s="260"/>
      <c r="S86" s="258" t="s">
        <v>17</v>
      </c>
      <c r="T86" s="303">
        <f>IF(A86="No","",IF(S86="Use Default",IF('MCC Model '!$F$1="Non-PTE",$AB$7,$AA$7),""))</f>
      </c>
      <c r="U86" s="255">
        <f>IF(A86="No","",0.66)</f>
      </c>
      <c r="V86" s="433">
        <f>IF(A86="Yes",(IF(BA86&lt;0,0,BA86)),"")</f>
      </c>
      <c r="W86" s="434">
        <f>IF(A86="Yes",V86*C86*D86,"")</f>
      </c>
      <c r="X86" s="275"/>
      <c r="Y86" s="278"/>
      <c r="Z86" s="278"/>
      <c r="AA86" s="278">
        <f>IF(F76="Non-PTE",AB83,AA83)</f>
        <v>6</v>
      </c>
      <c r="AB86" s="279" t="e">
        <f>IF(AND(N86="Use Default",P86="Use Default"),Q86/O86,IF(AND(N86="Use Local Value",P86="Use Default"),Q86/O87,IF(AND(N86="Use Default",P86="Use Local Value"),Q87/O86,IF(AND(N86="Use Local Value",P86="Use Local Value"),Q87/O87))))*IF($M86="",$M87,$M86)/IF($Q86="",Q87,$Q86)</f>
        <v>#VALUE!</v>
      </c>
      <c r="AC86" s="279" t="e">
        <f>AA86*AB86</f>
        <v>#VALUE!</v>
      </c>
      <c r="AD86" s="279" t="e">
        <f>1/IF(Q86="",Q87,Q86)</f>
        <v>#DIV/0!</v>
      </c>
      <c r="AE86" s="279" t="e">
        <f>AA86*((AC86+AD86)/AC86)^E86</f>
        <v>#VALUE!</v>
      </c>
      <c r="AF86" s="279" t="e">
        <f>AA86/((IF(K86="",K87,K86)/(IF(Q86="",Q87,Q86)*2)))</f>
        <v>#DIV/0!</v>
      </c>
      <c r="AG86" s="279" t="e">
        <f>AF86/2</f>
        <v>#DIV/0!</v>
      </c>
      <c r="AH86" s="279" t="e">
        <f>AE86/((IF(K86="",K87,K86)/(IF(Q86="",Q87,Q86)*2)))</f>
        <v>#VALUE!</v>
      </c>
      <c r="AI86" s="279" t="e">
        <f>AH86/2</f>
        <v>#VALUE!</v>
      </c>
      <c r="AJ86" s="279" t="e">
        <f>AI86-AG86</f>
        <v>#VALUE!</v>
      </c>
      <c r="AK86" s="280" t="e">
        <f>AJ86*IF(F86="Use Default",G86,G87)</f>
        <v>#VALUE!</v>
      </c>
      <c r="AL86" s="279" t="e">
        <f>AA86*IF(K86="",K87,K86)/((IF(K86="",K87,K86)/(IF(Q86="",Q87,Q86)*2)))</f>
        <v>#DIV/0!</v>
      </c>
      <c r="AM86" s="278" t="e">
        <f>AL86/2</f>
        <v>#DIV/0!</v>
      </c>
      <c r="AN86" s="279" t="e">
        <f>AE86*IF(K86="",K87,K86)/((IF(K86="",K87,K86)/(IF(Q86="",Q87,Q86)*2)))</f>
        <v>#VALUE!</v>
      </c>
      <c r="AO86" s="278" t="e">
        <f>AN86/2</f>
        <v>#VALUE!</v>
      </c>
      <c r="AP86" s="278" t="e">
        <f>AO86-AM86</f>
        <v>#VALUE!</v>
      </c>
      <c r="AQ86" s="280" t="e">
        <f>AP86*IF(H86="Use Default",I86,I87)</f>
        <v>#VALUE!</v>
      </c>
      <c r="AR86" s="280" t="e">
        <f>AQ86+AK86</f>
        <v>#VALUE!</v>
      </c>
      <c r="AS86" s="281" t="e">
        <f>(AE86-AA86)/AA86</f>
        <v>#VALUE!</v>
      </c>
      <c r="AT86" s="281" t="e">
        <f>AS86*U86</f>
        <v>#VALUE!</v>
      </c>
      <c r="AU86" s="282" t="e">
        <f>AC86*IF(Q86="",Q87,Q86)*2</f>
        <v>#VALUE!</v>
      </c>
      <c r="AV86" s="278" t="e">
        <f>AU86/2</f>
        <v>#VALUE!</v>
      </c>
      <c r="AW86" s="282" t="e">
        <f>AV86*IF(T86="",T87,T86)</f>
        <v>#VALUE!</v>
      </c>
      <c r="AX86" s="279" t="e">
        <f>AW86*AT86</f>
        <v>#VALUE!</v>
      </c>
      <c r="AY86" s="280" t="e">
        <f>AX86*R86</f>
        <v>#VALUE!</v>
      </c>
      <c r="AZ86" s="280" t="e">
        <f>AX86*'AC model'!$D$18</f>
        <v>#VALUE!</v>
      </c>
      <c r="BA86" s="280" t="e">
        <f>AR86-AY86+AZ86</f>
        <v>#VALUE!</v>
      </c>
      <c r="BB86" s="278"/>
      <c r="BC86" s="278"/>
      <c r="BD86" s="278"/>
      <c r="BE86" s="278"/>
      <c r="BF86" s="278"/>
      <c r="BG86" s="278"/>
      <c r="BH86" s="278"/>
      <c r="BI86" s="278"/>
      <c r="BJ86" s="278"/>
      <c r="BK86" s="278"/>
      <c r="BL86" s="278"/>
      <c r="BM86" s="278"/>
      <c r="BN86" s="278"/>
      <c r="BO86" s="278"/>
      <c r="BP86" s="278"/>
      <c r="BQ86" s="278"/>
      <c r="BR86" s="278"/>
      <c r="BS86" s="278"/>
      <c r="BT86" s="278"/>
      <c r="BU86" s="278"/>
      <c r="BV86" s="278"/>
      <c r="BW86" s="278"/>
      <c r="BX86" s="278"/>
      <c r="BY86" s="278"/>
      <c r="BZ86" s="278"/>
      <c r="CA86" s="278"/>
      <c r="CB86" s="278"/>
      <c r="CC86" s="278"/>
      <c r="CD86" s="278"/>
      <c r="CE86" s="278"/>
      <c r="CF86" s="278"/>
      <c r="CG86" s="278"/>
      <c r="CH86" s="278"/>
      <c r="CI86" s="278"/>
      <c r="CJ86" s="278"/>
      <c r="CK86" s="278"/>
      <c r="CL86" s="278"/>
      <c r="CM86" s="278"/>
      <c r="CN86" s="278"/>
      <c r="CO86" s="278"/>
      <c r="CP86" s="278"/>
      <c r="CQ86" s="278"/>
      <c r="CR86" s="278"/>
      <c r="CS86" s="278"/>
      <c r="CT86" s="278"/>
      <c r="CU86" s="278"/>
      <c r="CV86" s="278"/>
    </row>
    <row r="87" spans="1:100" s="231" customFormat="1" ht="15.75">
      <c r="A87" s="271"/>
      <c r="B87" s="267"/>
      <c r="C87" s="222"/>
      <c r="D87" s="222"/>
      <c r="E87" s="222"/>
      <c r="F87" s="224">
        <f>IF(F86="Use Local Value","Enter Local Value","")</f>
      </c>
      <c r="G87" s="763"/>
      <c r="H87" s="224">
        <f>IF(H86="Use Local Value","Enter Local Value","")</f>
      </c>
      <c r="I87" s="763"/>
      <c r="J87" s="224">
        <f>IF(J86="Use Local Value","Enter Local Value","")</f>
      </c>
      <c r="K87" s="225"/>
      <c r="L87" s="224">
        <f>IF(L86="Use Local Value","Enter Local Value","")</f>
      </c>
      <c r="M87" s="226"/>
      <c r="N87" s="224">
        <f>IF(N86="Use Local Value","Enter Local Value","")</f>
      </c>
      <c r="O87" s="226"/>
      <c r="P87" s="224">
        <f>IF(P86="Use Local Value","Enter Local Value","")</f>
      </c>
      <c r="Q87" s="226"/>
      <c r="R87" s="222"/>
      <c r="S87" s="224">
        <f>IF(S86="Use Local Value","Enter Local Value","")</f>
      </c>
      <c r="T87" s="304"/>
      <c r="U87" s="222"/>
      <c r="V87" s="222"/>
      <c r="W87" s="245"/>
      <c r="X87" s="245"/>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7"/>
      <c r="BH87" s="247"/>
      <c r="BI87" s="246"/>
      <c r="BJ87" s="246"/>
      <c r="BK87" s="246"/>
      <c r="BL87" s="246"/>
      <c r="BM87" s="246"/>
      <c r="BN87" s="246"/>
      <c r="BO87" s="246"/>
      <c r="BP87" s="246"/>
      <c r="BQ87" s="246"/>
      <c r="BR87" s="246"/>
      <c r="BS87" s="246"/>
      <c r="BT87" s="246"/>
      <c r="BU87" s="246"/>
      <c r="BV87" s="246"/>
      <c r="BW87" s="246"/>
      <c r="BX87" s="246"/>
      <c r="BY87" s="246"/>
      <c r="BZ87" s="246"/>
      <c r="CA87" s="246"/>
      <c r="CB87" s="246"/>
      <c r="CC87" s="246"/>
      <c r="CD87" s="246"/>
      <c r="CE87" s="246"/>
      <c r="CF87" s="246"/>
      <c r="CG87" s="246"/>
      <c r="CH87" s="246"/>
      <c r="CI87" s="246"/>
      <c r="CJ87" s="246"/>
      <c r="CK87" s="246"/>
      <c r="CL87" s="246"/>
      <c r="CM87" s="246"/>
      <c r="CN87" s="246"/>
      <c r="CO87" s="246"/>
      <c r="CP87" s="246"/>
      <c r="CQ87" s="246"/>
      <c r="CR87" s="246"/>
      <c r="CS87" s="246"/>
      <c r="CT87" s="246"/>
      <c r="CU87" s="246"/>
      <c r="CV87" s="246"/>
    </row>
    <row r="88" spans="1:100" s="248" customFormat="1" ht="17.25" customHeight="1" thickBot="1">
      <c r="A88" s="272"/>
      <c r="B88" s="268"/>
      <c r="C88" s="249"/>
      <c r="D88" s="249"/>
      <c r="E88" s="249"/>
      <c r="F88" s="249"/>
      <c r="G88" s="249"/>
      <c r="H88" s="249"/>
      <c r="I88" s="249"/>
      <c r="J88" s="250"/>
      <c r="K88" s="251"/>
      <c r="L88" s="250"/>
      <c r="M88" s="252"/>
      <c r="N88" s="250"/>
      <c r="O88" s="252"/>
      <c r="P88" s="250"/>
      <c r="Q88" s="252"/>
      <c r="R88" s="249"/>
      <c r="S88" s="250"/>
      <c r="T88" s="305"/>
      <c r="U88" s="249"/>
      <c r="V88" s="249"/>
      <c r="W88" s="249"/>
      <c r="X88" s="276"/>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3"/>
      <c r="AY88" s="283"/>
      <c r="AZ88" s="283"/>
      <c r="BA88" s="283"/>
      <c r="BB88" s="283"/>
      <c r="BC88" s="283"/>
      <c r="BD88" s="283"/>
      <c r="BE88" s="283"/>
      <c r="BF88" s="283"/>
      <c r="BG88" s="284"/>
      <c r="BH88" s="284"/>
      <c r="BI88" s="283"/>
      <c r="BJ88" s="283"/>
      <c r="BK88" s="283"/>
      <c r="BL88" s="283"/>
      <c r="BM88" s="283"/>
      <c r="BN88" s="283"/>
      <c r="BO88" s="283"/>
      <c r="BP88" s="283"/>
      <c r="BQ88" s="283"/>
      <c r="BR88" s="283"/>
      <c r="BS88" s="283"/>
      <c r="BT88" s="283"/>
      <c r="BU88" s="283"/>
      <c r="BV88" s="283"/>
      <c r="BW88" s="283"/>
      <c r="BX88" s="283"/>
      <c r="BY88" s="283"/>
      <c r="BZ88" s="283"/>
      <c r="CA88" s="283"/>
      <c r="CB88" s="283"/>
      <c r="CC88" s="283"/>
      <c r="CD88" s="283"/>
      <c r="CE88" s="283"/>
      <c r="CF88" s="283"/>
      <c r="CG88" s="283"/>
      <c r="CH88" s="283"/>
      <c r="CI88" s="283"/>
      <c r="CJ88" s="283"/>
      <c r="CK88" s="283"/>
      <c r="CL88" s="283"/>
      <c r="CM88" s="283"/>
      <c r="CN88" s="283"/>
      <c r="CO88" s="283"/>
      <c r="CP88" s="283"/>
      <c r="CQ88" s="283"/>
      <c r="CR88" s="283"/>
      <c r="CS88" s="283"/>
      <c r="CT88" s="283"/>
      <c r="CU88" s="283"/>
      <c r="CV88" s="283"/>
    </row>
    <row r="89" spans="1:100" s="253" customFormat="1" ht="15.75">
      <c r="A89" s="270" t="s">
        <v>30</v>
      </c>
      <c r="B89" s="266" t="s">
        <v>380</v>
      </c>
      <c r="C89" s="802">
        <f>IF(A89="No","",1-'RF model'!$C$14)</f>
      </c>
      <c r="D89" s="254"/>
      <c r="E89" s="255">
        <f>IF(A89="No","",0.6)</f>
      </c>
      <c r="F89" s="762" t="s">
        <v>17</v>
      </c>
      <c r="G89" s="256">
        <f>IF(A89="No","",IF(F89="Use Default",13.3*(VLOOKUP('Start Page'!$G$4,'RF Workings'!$E$3:$G$13,2)/'RF Workings'!$F$7),""))</f>
      </c>
      <c r="H89" s="762" t="s">
        <v>17</v>
      </c>
      <c r="I89" s="256">
        <f>IF(A89="No","",IF(H89="Use Default",0.7*(VLOOKUP('Start Page'!$G$4,'RF Workings'!$E$3:$G$13,2)/'RF Workings'!$F$7),""))</f>
      </c>
      <c r="J89" s="257" t="s">
        <v>17</v>
      </c>
      <c r="K89" s="801">
        <f>IF(A89="No","",IF(J89="Use Default",IF($F$1="Non-PTE",$AB$3,$AA$3),""))</f>
      </c>
      <c r="L89" s="258" t="s">
        <v>17</v>
      </c>
      <c r="M89" s="259">
        <f>IF(A89="No","",IF(L89="Use Default",IF($F$1="Non-PTE",$AB$4,$AA$4),""))</f>
      </c>
      <c r="N89" s="258" t="s">
        <v>17</v>
      </c>
      <c r="O89" s="800">
        <f>IF(A89="No","",IF(N89="Use Default",IF($F$1="Non-PTE",$AB$5,$AA$5),""))</f>
      </c>
      <c r="P89" s="258" t="s">
        <v>17</v>
      </c>
      <c r="Q89" s="801">
        <f>IF(A89="No","",(IF(P89="Use Default",IF($F$1="Non-PTE",$AB$6,$AA$6),"")))</f>
      </c>
      <c r="R89" s="260"/>
      <c r="S89" s="258" t="s">
        <v>17</v>
      </c>
      <c r="T89" s="303">
        <f>IF(A89="No","",IF(S89="Use Default",IF('MCC Model '!$F$1="Non-PTE",$AB$7,$AA$7),""))</f>
      </c>
      <c r="U89" s="255">
        <f>IF(A89="No","",0.66)</f>
      </c>
      <c r="V89" s="433">
        <f>IF(A89="Yes",(IF(BA89&lt;0,0,BA89)),"")</f>
      </c>
      <c r="W89" s="434">
        <f>IF(A89="Yes",V89*C89*D89,"")</f>
      </c>
      <c r="X89" s="275"/>
      <c r="Y89" s="278"/>
      <c r="Z89" s="278"/>
      <c r="AA89" s="278">
        <f>IF(F79="Non-PTE",AB86,AA86)</f>
        <v>6</v>
      </c>
      <c r="AB89" s="279" t="e">
        <f>IF(AND(N89="Use Default",P89="Use Default"),Q89/O89,IF(AND(N89="Use Local Value",P89="Use Default"),Q89/O90,IF(AND(N89="Use Default",P89="Use Local Value"),Q90/O89,IF(AND(N89="Use Local Value",P89="Use Local Value"),Q90/O90))))*IF($M89="",$M90,$M89)/IF($Q89="",Q90,$Q89)</f>
        <v>#VALUE!</v>
      </c>
      <c r="AC89" s="279" t="e">
        <f>AA89*AB89</f>
        <v>#VALUE!</v>
      </c>
      <c r="AD89" s="279" t="e">
        <f>1/IF(Q89="",Q90,Q89)</f>
        <v>#DIV/0!</v>
      </c>
      <c r="AE89" s="279" t="e">
        <f>AA89*((AC89+AD89)/AC89)^E89</f>
        <v>#VALUE!</v>
      </c>
      <c r="AF89" s="279" t="e">
        <f>AA89/((IF(K89="",K90,K89)/(IF(Q89="",Q90,Q89)*2)))</f>
        <v>#DIV/0!</v>
      </c>
      <c r="AG89" s="279" t="e">
        <f>AF89/2</f>
        <v>#DIV/0!</v>
      </c>
      <c r="AH89" s="279" t="e">
        <f>AE89/((IF(K89="",K90,K89)/(IF(Q89="",Q90,Q89)*2)))</f>
        <v>#VALUE!</v>
      </c>
      <c r="AI89" s="279" t="e">
        <f>AH89/2</f>
        <v>#VALUE!</v>
      </c>
      <c r="AJ89" s="279" t="e">
        <f>AI89-AG89</f>
        <v>#VALUE!</v>
      </c>
      <c r="AK89" s="280" t="e">
        <f>AJ89*IF(F89="Use Default",G89,G90)</f>
        <v>#VALUE!</v>
      </c>
      <c r="AL89" s="279" t="e">
        <f>AA89*IF(K89="",K90,K89)/((IF(K89="",K90,K89)/(IF(Q89="",Q90,Q89)*2)))</f>
        <v>#DIV/0!</v>
      </c>
      <c r="AM89" s="278" t="e">
        <f>AL89/2</f>
        <v>#DIV/0!</v>
      </c>
      <c r="AN89" s="279" t="e">
        <f>AE89*IF(K89="",K90,K89)/((IF(K89="",K90,K89)/(IF(Q89="",Q90,Q89)*2)))</f>
        <v>#VALUE!</v>
      </c>
      <c r="AO89" s="278" t="e">
        <f>AN89/2</f>
        <v>#VALUE!</v>
      </c>
      <c r="AP89" s="278" t="e">
        <f>AO89-AM89</f>
        <v>#VALUE!</v>
      </c>
      <c r="AQ89" s="280" t="e">
        <f>AP89*IF(H89="Use Default",I89,I90)</f>
        <v>#VALUE!</v>
      </c>
      <c r="AR89" s="280" t="e">
        <f>AQ89+AK89</f>
        <v>#VALUE!</v>
      </c>
      <c r="AS89" s="281" t="e">
        <f>(AE89-AA89)/AA89</f>
        <v>#VALUE!</v>
      </c>
      <c r="AT89" s="281" t="e">
        <f>AS89*U89</f>
        <v>#VALUE!</v>
      </c>
      <c r="AU89" s="282" t="e">
        <f>AC89*IF(Q89="",Q90,Q89)*2</f>
        <v>#VALUE!</v>
      </c>
      <c r="AV89" s="278" t="e">
        <f>AU89/2</f>
        <v>#VALUE!</v>
      </c>
      <c r="AW89" s="282" t="e">
        <f>AV89*IF(T89="",T90,T89)</f>
        <v>#VALUE!</v>
      </c>
      <c r="AX89" s="279" t="e">
        <f>AW89*AT89</f>
        <v>#VALUE!</v>
      </c>
      <c r="AY89" s="280" t="e">
        <f>AX89*R89</f>
        <v>#VALUE!</v>
      </c>
      <c r="AZ89" s="280" t="e">
        <f>AX89*'AC model'!$D$18</f>
        <v>#VALUE!</v>
      </c>
      <c r="BA89" s="280" t="e">
        <f>AR89-AY89+AZ89</f>
        <v>#VALUE!</v>
      </c>
      <c r="BB89" s="278"/>
      <c r="BC89" s="278"/>
      <c r="BD89" s="278"/>
      <c r="BE89" s="278"/>
      <c r="BF89" s="278"/>
      <c r="BG89" s="278"/>
      <c r="BH89" s="278"/>
      <c r="BI89" s="278"/>
      <c r="BJ89" s="278"/>
      <c r="BK89" s="278"/>
      <c r="BL89" s="278"/>
      <c r="BM89" s="278"/>
      <c r="BN89" s="278"/>
      <c r="BO89" s="278"/>
      <c r="BP89" s="278"/>
      <c r="BQ89" s="278"/>
      <c r="BR89" s="278"/>
      <c r="BS89" s="278"/>
      <c r="BT89" s="278"/>
      <c r="BU89" s="278"/>
      <c r="BV89" s="278"/>
      <c r="BW89" s="278"/>
      <c r="BX89" s="278"/>
      <c r="BY89" s="278"/>
      <c r="BZ89" s="278"/>
      <c r="CA89" s="278"/>
      <c r="CB89" s="278"/>
      <c r="CC89" s="278"/>
      <c r="CD89" s="278"/>
      <c r="CE89" s="278"/>
      <c r="CF89" s="278"/>
      <c r="CG89" s="278"/>
      <c r="CH89" s="278"/>
      <c r="CI89" s="278"/>
      <c r="CJ89" s="278"/>
      <c r="CK89" s="278"/>
      <c r="CL89" s="278"/>
      <c r="CM89" s="278"/>
      <c r="CN89" s="278"/>
      <c r="CO89" s="278"/>
      <c r="CP89" s="278"/>
      <c r="CQ89" s="278"/>
      <c r="CR89" s="278"/>
      <c r="CS89" s="278"/>
      <c r="CT89" s="278"/>
      <c r="CU89" s="278"/>
      <c r="CV89" s="278"/>
    </row>
    <row r="90" spans="1:100" s="231" customFormat="1" ht="15.75">
      <c r="A90" s="271"/>
      <c r="B90" s="267"/>
      <c r="C90" s="222"/>
      <c r="D90" s="222"/>
      <c r="E90" s="222"/>
      <c r="F90" s="224">
        <f>IF(F89="Use Local Value","Enter Local Value","")</f>
      </c>
      <c r="G90" s="763"/>
      <c r="H90" s="224">
        <f>IF(H89="Use Local Value","Enter Local Value","")</f>
      </c>
      <c r="I90" s="763"/>
      <c r="J90" s="224">
        <f>IF(J89="Use Local Value","Enter Local Value","")</f>
      </c>
      <c r="K90" s="225"/>
      <c r="L90" s="224">
        <f>IF(L89="Use Local Value","Enter Local Value","")</f>
      </c>
      <c r="M90" s="226"/>
      <c r="N90" s="224">
        <f>IF(N89="Use Local Value","Enter Local Value","")</f>
      </c>
      <c r="O90" s="226"/>
      <c r="P90" s="224">
        <f>IF(P89="Use Local Value","Enter Local Value","")</f>
      </c>
      <c r="Q90" s="226"/>
      <c r="R90" s="222"/>
      <c r="S90" s="224">
        <f>IF(S89="Use Local Value","Enter Local Value","")</f>
      </c>
      <c r="T90" s="304"/>
      <c r="U90" s="222"/>
      <c r="V90" s="222"/>
      <c r="W90" s="245"/>
      <c r="X90" s="245"/>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7"/>
      <c r="BH90" s="247"/>
      <c r="BI90" s="246"/>
      <c r="BJ90" s="246"/>
      <c r="BK90" s="246"/>
      <c r="BL90" s="246"/>
      <c r="BM90" s="246"/>
      <c r="BN90" s="246"/>
      <c r="BO90" s="246"/>
      <c r="BP90" s="246"/>
      <c r="BQ90" s="246"/>
      <c r="BR90" s="246"/>
      <c r="BS90" s="246"/>
      <c r="BT90" s="246"/>
      <c r="BU90" s="246"/>
      <c r="BV90" s="246"/>
      <c r="BW90" s="246"/>
      <c r="BX90" s="246"/>
      <c r="BY90" s="246"/>
      <c r="BZ90" s="246"/>
      <c r="CA90" s="246"/>
      <c r="CB90" s="246"/>
      <c r="CC90" s="246"/>
      <c r="CD90" s="246"/>
      <c r="CE90" s="246"/>
      <c r="CF90" s="246"/>
      <c r="CG90" s="246"/>
      <c r="CH90" s="246"/>
      <c r="CI90" s="246"/>
      <c r="CJ90" s="246"/>
      <c r="CK90" s="246"/>
      <c r="CL90" s="246"/>
      <c r="CM90" s="246"/>
      <c r="CN90" s="246"/>
      <c r="CO90" s="246"/>
      <c r="CP90" s="246"/>
      <c r="CQ90" s="246"/>
      <c r="CR90" s="246"/>
      <c r="CS90" s="246"/>
      <c r="CT90" s="246"/>
      <c r="CU90" s="246"/>
      <c r="CV90" s="246"/>
    </row>
    <row r="91" spans="1:100" s="248" customFormat="1" ht="17.25" customHeight="1" thickBot="1">
      <c r="A91" s="272"/>
      <c r="B91" s="268"/>
      <c r="C91" s="249"/>
      <c r="D91" s="249"/>
      <c r="E91" s="249"/>
      <c r="F91" s="249"/>
      <c r="G91" s="249"/>
      <c r="H91" s="249"/>
      <c r="I91" s="249"/>
      <c r="J91" s="250"/>
      <c r="K91" s="251"/>
      <c r="L91" s="250"/>
      <c r="M91" s="252"/>
      <c r="N91" s="250"/>
      <c r="O91" s="252"/>
      <c r="P91" s="250"/>
      <c r="Q91" s="252"/>
      <c r="R91" s="249"/>
      <c r="S91" s="250"/>
      <c r="T91" s="305"/>
      <c r="U91" s="249"/>
      <c r="V91" s="249"/>
      <c r="W91" s="249"/>
      <c r="X91" s="276"/>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c r="AW91" s="283"/>
      <c r="AX91" s="283"/>
      <c r="AY91" s="283"/>
      <c r="AZ91" s="283"/>
      <c r="BA91" s="283"/>
      <c r="BB91" s="283"/>
      <c r="BC91" s="283"/>
      <c r="BD91" s="283"/>
      <c r="BE91" s="283"/>
      <c r="BF91" s="283"/>
      <c r="BG91" s="284"/>
      <c r="BH91" s="284"/>
      <c r="BI91" s="283"/>
      <c r="BJ91" s="283"/>
      <c r="BK91" s="283"/>
      <c r="BL91" s="283"/>
      <c r="BM91" s="283"/>
      <c r="BN91" s="283"/>
      <c r="BO91" s="283"/>
      <c r="BP91" s="283"/>
      <c r="BQ91" s="283"/>
      <c r="BR91" s="283"/>
      <c r="BS91" s="283"/>
      <c r="BT91" s="283"/>
      <c r="BU91" s="283"/>
      <c r="BV91" s="283"/>
      <c r="BW91" s="283"/>
      <c r="BX91" s="283"/>
      <c r="BY91" s="283"/>
      <c r="BZ91" s="283"/>
      <c r="CA91" s="283"/>
      <c r="CB91" s="283"/>
      <c r="CC91" s="283"/>
      <c r="CD91" s="283"/>
      <c r="CE91" s="283"/>
      <c r="CF91" s="283"/>
      <c r="CG91" s="283"/>
      <c r="CH91" s="283"/>
      <c r="CI91" s="283"/>
      <c r="CJ91" s="283"/>
      <c r="CK91" s="283"/>
      <c r="CL91" s="283"/>
      <c r="CM91" s="283"/>
      <c r="CN91" s="283"/>
      <c r="CO91" s="283"/>
      <c r="CP91" s="283"/>
      <c r="CQ91" s="283"/>
      <c r="CR91" s="283"/>
      <c r="CS91" s="283"/>
      <c r="CT91" s="283"/>
      <c r="CU91" s="283"/>
      <c r="CV91" s="283"/>
    </row>
    <row r="92" spans="1:100" s="253" customFormat="1" ht="15.75">
      <c r="A92" s="270" t="s">
        <v>30</v>
      </c>
      <c r="B92" s="266" t="s">
        <v>380</v>
      </c>
      <c r="C92" s="802">
        <f>IF(A92="No","",1-'RF model'!$C$14)</f>
      </c>
      <c r="D92" s="254"/>
      <c r="E92" s="255">
        <f>IF(A92="No","",0.6)</f>
      </c>
      <c r="F92" s="762" t="s">
        <v>17</v>
      </c>
      <c r="G92" s="256">
        <f>IF(A92="No","",IF(F92="Use Default",13.3*(VLOOKUP('Start Page'!$G$4,'RF Workings'!$E$3:$G$13,2)/'RF Workings'!$F$7),""))</f>
      </c>
      <c r="H92" s="762" t="s">
        <v>17</v>
      </c>
      <c r="I92" s="256">
        <f>IF(A92="No","",IF(H92="Use Default",0.7*(VLOOKUP('Start Page'!$G$4,'RF Workings'!$E$3:$G$13,2)/'RF Workings'!$F$7),""))</f>
      </c>
      <c r="J92" s="257" t="s">
        <v>17</v>
      </c>
      <c r="K92" s="801">
        <f>IF(A92="No","",IF(J92="Use Default",IF($F$1="Non-PTE",$AB$3,$AA$3),""))</f>
      </c>
      <c r="L92" s="258" t="s">
        <v>17</v>
      </c>
      <c r="M92" s="259">
        <f>IF(A92="No","",IF(L92="Use Default",IF($F$1="Non-PTE",$AB$4,$AA$4),""))</f>
      </c>
      <c r="N92" s="258" t="s">
        <v>17</v>
      </c>
      <c r="O92" s="800">
        <f>IF(A92="No","",IF(N92="Use Default",IF($F$1="Non-PTE",$AB$5,$AA$5),""))</f>
      </c>
      <c r="P92" s="258" t="s">
        <v>17</v>
      </c>
      <c r="Q92" s="801">
        <f>IF(A92="No","",(IF(P92="Use Default",IF($F$1="Non-PTE",$AB$6,$AA$6),"")))</f>
      </c>
      <c r="R92" s="260"/>
      <c r="S92" s="258" t="s">
        <v>17</v>
      </c>
      <c r="T92" s="303">
        <f>IF(A92="No","",IF(S92="Use Default",IF('MCC Model '!$F$1="Non-PTE",$AB$7,$AA$7),""))</f>
      </c>
      <c r="U92" s="255">
        <f>IF(A92="No","",0.66)</f>
      </c>
      <c r="V92" s="433">
        <f>IF(A92="Yes",(IF(BA92&lt;0,0,BA92)),"")</f>
      </c>
      <c r="W92" s="434">
        <f>IF(A92="Yes",V92*C92*D92,"")</f>
      </c>
      <c r="X92" s="275"/>
      <c r="Y92" s="278"/>
      <c r="Z92" s="278"/>
      <c r="AA92" s="278">
        <f>IF(F82="Non-PTE",AB89,AA89)</f>
        <v>6</v>
      </c>
      <c r="AB92" s="279" t="e">
        <f>IF(AND(N92="Use Default",P92="Use Default"),Q92/O92,IF(AND(N92="Use Local Value",P92="Use Default"),Q92/O93,IF(AND(N92="Use Default",P92="Use Local Value"),Q93/O92,IF(AND(N92="Use Local Value",P92="Use Local Value"),Q93/O93))))*IF($M92="",$M93,$M92)/IF($Q92="",Q93,$Q92)</f>
        <v>#VALUE!</v>
      </c>
      <c r="AC92" s="279" t="e">
        <f>AA92*AB92</f>
        <v>#VALUE!</v>
      </c>
      <c r="AD92" s="279" t="e">
        <f>1/IF(Q92="",Q93,Q92)</f>
        <v>#DIV/0!</v>
      </c>
      <c r="AE92" s="279" t="e">
        <f>AA92*((AC92+AD92)/AC92)^E92</f>
        <v>#VALUE!</v>
      </c>
      <c r="AF92" s="279" t="e">
        <f>AA92/((IF(K92="",K93,K92)/(IF(Q92="",Q93,Q92)*2)))</f>
        <v>#DIV/0!</v>
      </c>
      <c r="AG92" s="279" t="e">
        <f>AF92/2</f>
        <v>#DIV/0!</v>
      </c>
      <c r="AH92" s="279" t="e">
        <f>AE92/((IF(K92="",K93,K92)/(IF(Q92="",Q93,Q92)*2)))</f>
        <v>#VALUE!</v>
      </c>
      <c r="AI92" s="279" t="e">
        <f>AH92/2</f>
        <v>#VALUE!</v>
      </c>
      <c r="AJ92" s="279" t="e">
        <f>AI92-AG92</f>
        <v>#VALUE!</v>
      </c>
      <c r="AK92" s="280" t="e">
        <f>AJ92*IF(F92="Use Default",G92,G93)</f>
        <v>#VALUE!</v>
      </c>
      <c r="AL92" s="279" t="e">
        <f>AA92*IF(K92="",K93,K92)/((IF(K92="",K93,K92)/(IF(Q92="",Q93,Q92)*2)))</f>
        <v>#DIV/0!</v>
      </c>
      <c r="AM92" s="278" t="e">
        <f>AL92/2</f>
        <v>#DIV/0!</v>
      </c>
      <c r="AN92" s="279" t="e">
        <f>AE92*IF(K92="",K93,K92)/((IF(K92="",K93,K92)/(IF(Q92="",Q93,Q92)*2)))</f>
        <v>#VALUE!</v>
      </c>
      <c r="AO92" s="278" t="e">
        <f>AN92/2</f>
        <v>#VALUE!</v>
      </c>
      <c r="AP92" s="278" t="e">
        <f>AO92-AM92</f>
        <v>#VALUE!</v>
      </c>
      <c r="AQ92" s="280" t="e">
        <f>AP92*IF(H92="Use Default",I92,I93)</f>
        <v>#VALUE!</v>
      </c>
      <c r="AR92" s="280" t="e">
        <f>AQ92+AK92</f>
        <v>#VALUE!</v>
      </c>
      <c r="AS92" s="281" t="e">
        <f>(AE92-AA92)/AA92</f>
        <v>#VALUE!</v>
      </c>
      <c r="AT92" s="281" t="e">
        <f>AS92*U92</f>
        <v>#VALUE!</v>
      </c>
      <c r="AU92" s="282" t="e">
        <f>AC92*IF(Q92="",Q93,Q92)*2</f>
        <v>#VALUE!</v>
      </c>
      <c r="AV92" s="278" t="e">
        <f>AU92/2</f>
        <v>#VALUE!</v>
      </c>
      <c r="AW92" s="282" t="e">
        <f>AV92*IF(T92="",T93,T92)</f>
        <v>#VALUE!</v>
      </c>
      <c r="AX92" s="279" t="e">
        <f>AW92*AT92</f>
        <v>#VALUE!</v>
      </c>
      <c r="AY92" s="280" t="e">
        <f>AX92*R92</f>
        <v>#VALUE!</v>
      </c>
      <c r="AZ92" s="280" t="e">
        <f>AX92*'AC model'!$D$18</f>
        <v>#VALUE!</v>
      </c>
      <c r="BA92" s="280" t="e">
        <f>AR92-AY92+AZ92</f>
        <v>#VALUE!</v>
      </c>
      <c r="BB92" s="278"/>
      <c r="BC92" s="278"/>
      <c r="BD92" s="278"/>
      <c r="BE92" s="278"/>
      <c r="BF92" s="278"/>
      <c r="BG92" s="278"/>
      <c r="BH92" s="278"/>
      <c r="BI92" s="278"/>
      <c r="BJ92" s="278"/>
      <c r="BK92" s="278"/>
      <c r="BL92" s="278"/>
      <c r="BM92" s="278"/>
      <c r="BN92" s="278"/>
      <c r="BO92" s="278"/>
      <c r="BP92" s="278"/>
      <c r="BQ92" s="278"/>
      <c r="BR92" s="278"/>
      <c r="BS92" s="278"/>
      <c r="BT92" s="278"/>
      <c r="BU92" s="278"/>
      <c r="BV92" s="278"/>
      <c r="BW92" s="278"/>
      <c r="BX92" s="278"/>
      <c r="BY92" s="278"/>
      <c r="BZ92" s="278"/>
      <c r="CA92" s="278"/>
      <c r="CB92" s="278"/>
      <c r="CC92" s="278"/>
      <c r="CD92" s="278"/>
      <c r="CE92" s="278"/>
      <c r="CF92" s="278"/>
      <c r="CG92" s="278"/>
      <c r="CH92" s="278"/>
      <c r="CI92" s="278"/>
      <c r="CJ92" s="278"/>
      <c r="CK92" s="278"/>
      <c r="CL92" s="278"/>
      <c r="CM92" s="278"/>
      <c r="CN92" s="278"/>
      <c r="CO92" s="278"/>
      <c r="CP92" s="278"/>
      <c r="CQ92" s="278"/>
      <c r="CR92" s="278"/>
      <c r="CS92" s="278"/>
      <c r="CT92" s="278"/>
      <c r="CU92" s="278"/>
      <c r="CV92" s="278"/>
    </row>
    <row r="93" spans="1:100" s="231" customFormat="1" ht="15.75">
      <c r="A93" s="271"/>
      <c r="B93" s="267"/>
      <c r="C93" s="222"/>
      <c r="D93" s="222"/>
      <c r="E93" s="222"/>
      <c r="F93" s="224">
        <f>IF(F92="Use Local Value","Enter Local Value","")</f>
      </c>
      <c r="G93" s="763"/>
      <c r="H93" s="224">
        <f>IF(H92="Use Local Value","Enter Local Value","")</f>
      </c>
      <c r="I93" s="763"/>
      <c r="J93" s="224">
        <f>IF(J92="Use Local Value","Enter Local Value","")</f>
      </c>
      <c r="K93" s="225"/>
      <c r="L93" s="224">
        <f>IF(L92="Use Local Value","Enter Local Value","")</f>
      </c>
      <c r="M93" s="226"/>
      <c r="N93" s="224">
        <f>IF(N92="Use Local Value","Enter Local Value","")</f>
      </c>
      <c r="O93" s="226"/>
      <c r="P93" s="224">
        <f>IF(P92="Use Local Value","Enter Local Value","")</f>
      </c>
      <c r="Q93" s="226"/>
      <c r="R93" s="222"/>
      <c r="S93" s="224">
        <f>IF(S92="Use Local Value","Enter Local Value","")</f>
      </c>
      <c r="T93" s="304"/>
      <c r="U93" s="222"/>
      <c r="V93" s="222"/>
      <c r="W93" s="245"/>
      <c r="X93" s="245"/>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7"/>
      <c r="BH93" s="247"/>
      <c r="BI93" s="246"/>
      <c r="BJ93" s="246"/>
      <c r="BK93" s="246"/>
      <c r="BL93" s="246"/>
      <c r="BM93" s="246"/>
      <c r="BN93" s="246"/>
      <c r="BO93" s="246"/>
      <c r="BP93" s="246"/>
      <c r="BQ93" s="246"/>
      <c r="BR93" s="246"/>
      <c r="BS93" s="246"/>
      <c r="BT93" s="246"/>
      <c r="BU93" s="246"/>
      <c r="BV93" s="246"/>
      <c r="BW93" s="246"/>
      <c r="BX93" s="246"/>
      <c r="BY93" s="246"/>
      <c r="BZ93" s="246"/>
      <c r="CA93" s="246"/>
      <c r="CB93" s="246"/>
      <c r="CC93" s="246"/>
      <c r="CD93" s="246"/>
      <c r="CE93" s="246"/>
      <c r="CF93" s="246"/>
      <c r="CG93" s="246"/>
      <c r="CH93" s="246"/>
      <c r="CI93" s="246"/>
      <c r="CJ93" s="246"/>
      <c r="CK93" s="246"/>
      <c r="CL93" s="246"/>
      <c r="CM93" s="246"/>
      <c r="CN93" s="246"/>
      <c r="CO93" s="246"/>
      <c r="CP93" s="246"/>
      <c r="CQ93" s="246"/>
      <c r="CR93" s="246"/>
      <c r="CS93" s="246"/>
      <c r="CT93" s="246"/>
      <c r="CU93" s="246"/>
      <c r="CV93" s="246"/>
    </row>
    <row r="94" spans="1:100" s="248" customFormat="1" ht="17.25" customHeight="1" thickBot="1">
      <c r="A94" s="272"/>
      <c r="B94" s="268"/>
      <c r="C94" s="249"/>
      <c r="D94" s="249"/>
      <c r="E94" s="249"/>
      <c r="F94" s="249"/>
      <c r="G94" s="249"/>
      <c r="H94" s="249"/>
      <c r="I94" s="249"/>
      <c r="J94" s="250"/>
      <c r="K94" s="251"/>
      <c r="L94" s="250"/>
      <c r="M94" s="252"/>
      <c r="N94" s="250"/>
      <c r="O94" s="252"/>
      <c r="P94" s="250"/>
      <c r="Q94" s="252"/>
      <c r="R94" s="249"/>
      <c r="S94" s="250"/>
      <c r="T94" s="305"/>
      <c r="U94" s="249"/>
      <c r="V94" s="249"/>
      <c r="W94" s="249"/>
      <c r="X94" s="276"/>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c r="AW94" s="283"/>
      <c r="AX94" s="283"/>
      <c r="AY94" s="283"/>
      <c r="AZ94" s="283"/>
      <c r="BA94" s="283"/>
      <c r="BB94" s="283"/>
      <c r="BC94" s="283"/>
      <c r="BD94" s="283"/>
      <c r="BE94" s="283"/>
      <c r="BF94" s="283"/>
      <c r="BG94" s="284"/>
      <c r="BH94" s="284"/>
      <c r="BI94" s="283"/>
      <c r="BJ94" s="283"/>
      <c r="BK94" s="283"/>
      <c r="BL94" s="283"/>
      <c r="BM94" s="283"/>
      <c r="BN94" s="283"/>
      <c r="BO94" s="283"/>
      <c r="BP94" s="283"/>
      <c r="BQ94" s="283"/>
      <c r="BR94" s="283"/>
      <c r="BS94" s="283"/>
      <c r="BT94" s="283"/>
      <c r="BU94" s="283"/>
      <c r="BV94" s="283"/>
      <c r="BW94" s="283"/>
      <c r="BX94" s="283"/>
      <c r="BY94" s="283"/>
      <c r="BZ94" s="283"/>
      <c r="CA94" s="283"/>
      <c r="CB94" s="283"/>
      <c r="CC94" s="283"/>
      <c r="CD94" s="283"/>
      <c r="CE94" s="283"/>
      <c r="CF94" s="283"/>
      <c r="CG94" s="283"/>
      <c r="CH94" s="283"/>
      <c r="CI94" s="283"/>
      <c r="CJ94" s="283"/>
      <c r="CK94" s="283"/>
      <c r="CL94" s="283"/>
      <c r="CM94" s="283"/>
      <c r="CN94" s="283"/>
      <c r="CO94" s="283"/>
      <c r="CP94" s="283"/>
      <c r="CQ94" s="283"/>
      <c r="CR94" s="283"/>
      <c r="CS94" s="283"/>
      <c r="CT94" s="283"/>
      <c r="CU94" s="283"/>
      <c r="CV94" s="283"/>
    </row>
    <row r="95" spans="1:100" s="253" customFormat="1" ht="15.75">
      <c r="A95" s="270" t="s">
        <v>30</v>
      </c>
      <c r="B95" s="266" t="s">
        <v>380</v>
      </c>
      <c r="C95" s="802">
        <f>IF(A95="No","",1-'RF model'!$C$14)</f>
      </c>
      <c r="D95" s="254"/>
      <c r="E95" s="255">
        <f>IF(A95="No","",0.6)</f>
      </c>
      <c r="F95" s="762" t="s">
        <v>17</v>
      </c>
      <c r="G95" s="256">
        <f>IF(A95="No","",IF(F95="Use Default",13.3*(VLOOKUP('Start Page'!$G$4,'RF Workings'!$E$3:$G$13,2)/'RF Workings'!$F$7),""))</f>
      </c>
      <c r="H95" s="762" t="s">
        <v>17</v>
      </c>
      <c r="I95" s="256">
        <f>IF(A95="No","",IF(H95="Use Default",0.7*(VLOOKUP('Start Page'!$G$4,'RF Workings'!$E$3:$G$13,2)/'RF Workings'!$F$7),""))</f>
      </c>
      <c r="J95" s="257" t="s">
        <v>17</v>
      </c>
      <c r="K95" s="801">
        <f>IF(A95="No","",IF(J95="Use Default",IF($F$1="Non-PTE",$AB$3,$AA$3),""))</f>
      </c>
      <c r="L95" s="258" t="s">
        <v>17</v>
      </c>
      <c r="M95" s="259">
        <f>IF(A95="No","",IF(L95="Use Default",IF($F$1="Non-PTE",$AB$4,$AA$4),""))</f>
      </c>
      <c r="N95" s="258" t="s">
        <v>17</v>
      </c>
      <c r="O95" s="800">
        <f>IF(A95="No","",IF(N95="Use Default",IF($F$1="Non-PTE",$AB$5,$AA$5),""))</f>
      </c>
      <c r="P95" s="258" t="s">
        <v>17</v>
      </c>
      <c r="Q95" s="801">
        <f>IF(A95="No","",(IF(P95="Use Default",IF($F$1="Non-PTE",$AB$6,$AA$6),"")))</f>
      </c>
      <c r="R95" s="260"/>
      <c r="S95" s="258" t="s">
        <v>17</v>
      </c>
      <c r="T95" s="303">
        <f>IF(A95="No","",IF(S95="Use Default",IF('MCC Model '!$F$1="Non-PTE",$AB$7,$AA$7),""))</f>
      </c>
      <c r="U95" s="255">
        <f>IF(A95="No","",0.66)</f>
      </c>
      <c r="V95" s="433">
        <f>IF(A95="Yes",(IF(BA95&lt;0,0,BA95)),"")</f>
      </c>
      <c r="W95" s="434">
        <f>IF(A95="Yes",V95*C95*D95,"")</f>
      </c>
      <c r="X95" s="275"/>
      <c r="Y95" s="278"/>
      <c r="Z95" s="278"/>
      <c r="AA95" s="278">
        <f>IF(F85="Non-PTE",AB92,AA92)</f>
        <v>6</v>
      </c>
      <c r="AB95" s="279" t="e">
        <f>IF(AND(N95="Use Default",P95="Use Default"),Q95/O95,IF(AND(N95="Use Local Value",P95="Use Default"),Q95/O96,IF(AND(N95="Use Default",P95="Use Local Value"),Q96/O95,IF(AND(N95="Use Local Value",P95="Use Local Value"),Q96/O96))))*IF($M95="",$M96,$M95)/IF($Q95="",Q96,$Q95)</f>
        <v>#VALUE!</v>
      </c>
      <c r="AC95" s="279" t="e">
        <f>AA95*AB95</f>
        <v>#VALUE!</v>
      </c>
      <c r="AD95" s="279" t="e">
        <f>1/IF(Q95="",Q96,Q95)</f>
        <v>#DIV/0!</v>
      </c>
      <c r="AE95" s="279" t="e">
        <f>AA95*((AC95+AD95)/AC95)^E95</f>
        <v>#VALUE!</v>
      </c>
      <c r="AF95" s="279" t="e">
        <f>AA95/((IF(K95="",K96,K95)/(IF(Q95="",Q96,Q95)*2)))</f>
        <v>#DIV/0!</v>
      </c>
      <c r="AG95" s="279" t="e">
        <f>AF95/2</f>
        <v>#DIV/0!</v>
      </c>
      <c r="AH95" s="279" t="e">
        <f>AE95/((IF(K95="",K96,K95)/(IF(Q95="",Q96,Q95)*2)))</f>
        <v>#VALUE!</v>
      </c>
      <c r="AI95" s="279" t="e">
        <f>AH95/2</f>
        <v>#VALUE!</v>
      </c>
      <c r="AJ95" s="279" t="e">
        <f>AI95-AG95</f>
        <v>#VALUE!</v>
      </c>
      <c r="AK95" s="280" t="e">
        <f>AJ95*IF(F95="Use Default",G95,G96)</f>
        <v>#VALUE!</v>
      </c>
      <c r="AL95" s="279" t="e">
        <f>AA95*IF(K95="",K96,K95)/((IF(K95="",K96,K95)/(IF(Q95="",Q96,Q95)*2)))</f>
        <v>#DIV/0!</v>
      </c>
      <c r="AM95" s="278" t="e">
        <f>AL95/2</f>
        <v>#DIV/0!</v>
      </c>
      <c r="AN95" s="279" t="e">
        <f>AE95*IF(K95="",K96,K95)/((IF(K95="",K96,K95)/(IF(Q95="",Q96,Q95)*2)))</f>
        <v>#VALUE!</v>
      </c>
      <c r="AO95" s="278" t="e">
        <f>AN95/2</f>
        <v>#VALUE!</v>
      </c>
      <c r="AP95" s="278" t="e">
        <f>AO95-AM95</f>
        <v>#VALUE!</v>
      </c>
      <c r="AQ95" s="280" t="e">
        <f>AP95*IF(H95="Use Default",I95,I96)</f>
        <v>#VALUE!</v>
      </c>
      <c r="AR95" s="280" t="e">
        <f>AQ95+AK95</f>
        <v>#VALUE!</v>
      </c>
      <c r="AS95" s="281" t="e">
        <f>(AE95-AA95)/AA95</f>
        <v>#VALUE!</v>
      </c>
      <c r="AT95" s="281" t="e">
        <f>AS95*U95</f>
        <v>#VALUE!</v>
      </c>
      <c r="AU95" s="282" t="e">
        <f>AC95*IF(Q95="",Q96,Q95)*2</f>
        <v>#VALUE!</v>
      </c>
      <c r="AV95" s="278" t="e">
        <f>AU95/2</f>
        <v>#VALUE!</v>
      </c>
      <c r="AW95" s="282" t="e">
        <f>AV95*IF(T95="",T96,T95)</f>
        <v>#VALUE!</v>
      </c>
      <c r="AX95" s="279" t="e">
        <f>AW95*AT95</f>
        <v>#VALUE!</v>
      </c>
      <c r="AY95" s="280" t="e">
        <f>AX95*R95</f>
        <v>#VALUE!</v>
      </c>
      <c r="AZ95" s="280" t="e">
        <f>AX95*'AC model'!$D$18</f>
        <v>#VALUE!</v>
      </c>
      <c r="BA95" s="280" t="e">
        <f>AR95-AY95+AZ95</f>
        <v>#VALUE!</v>
      </c>
      <c r="BB95" s="278"/>
      <c r="BC95" s="278"/>
      <c r="BD95" s="278"/>
      <c r="BE95" s="278"/>
      <c r="BF95" s="278"/>
      <c r="BG95" s="278"/>
      <c r="BH95" s="278"/>
      <c r="BI95" s="278"/>
      <c r="BJ95" s="278"/>
      <c r="BK95" s="278"/>
      <c r="BL95" s="278"/>
      <c r="BM95" s="278"/>
      <c r="BN95" s="278"/>
      <c r="BO95" s="278"/>
      <c r="BP95" s="278"/>
      <c r="BQ95" s="278"/>
      <c r="BR95" s="278"/>
      <c r="BS95" s="278"/>
      <c r="BT95" s="278"/>
      <c r="BU95" s="278"/>
      <c r="BV95" s="278"/>
      <c r="BW95" s="278"/>
      <c r="BX95" s="278"/>
      <c r="BY95" s="278"/>
      <c r="BZ95" s="278"/>
      <c r="CA95" s="278"/>
      <c r="CB95" s="278"/>
      <c r="CC95" s="278"/>
      <c r="CD95" s="278"/>
      <c r="CE95" s="278"/>
      <c r="CF95" s="278"/>
      <c r="CG95" s="278"/>
      <c r="CH95" s="278"/>
      <c r="CI95" s="278"/>
      <c r="CJ95" s="278"/>
      <c r="CK95" s="278"/>
      <c r="CL95" s="278"/>
      <c r="CM95" s="278"/>
      <c r="CN95" s="278"/>
      <c r="CO95" s="278"/>
      <c r="CP95" s="278"/>
      <c r="CQ95" s="278"/>
      <c r="CR95" s="278"/>
      <c r="CS95" s="278"/>
      <c r="CT95" s="278"/>
      <c r="CU95" s="278"/>
      <c r="CV95" s="278"/>
    </row>
    <row r="96" spans="1:100" s="231" customFormat="1" ht="15.75">
      <c r="A96" s="271"/>
      <c r="B96" s="267"/>
      <c r="C96" s="222"/>
      <c r="D96" s="222"/>
      <c r="E96" s="222"/>
      <c r="F96" s="224">
        <f>IF(F95="Use Local Value","Enter Local Value","")</f>
      </c>
      <c r="G96" s="763"/>
      <c r="H96" s="224">
        <f>IF(H95="Use Local Value","Enter Local Value","")</f>
      </c>
      <c r="I96" s="763"/>
      <c r="J96" s="224">
        <f>IF(J95="Use Local Value","Enter Local Value","")</f>
      </c>
      <c r="K96" s="225"/>
      <c r="L96" s="224">
        <f>IF(L95="Use Local Value","Enter Local Value","")</f>
      </c>
      <c r="M96" s="226"/>
      <c r="N96" s="224">
        <f>IF(N95="Use Local Value","Enter Local Value","")</f>
      </c>
      <c r="O96" s="226"/>
      <c r="P96" s="224">
        <f>IF(P95="Use Local Value","Enter Local Value","")</f>
      </c>
      <c r="Q96" s="226"/>
      <c r="R96" s="222"/>
      <c r="S96" s="224">
        <f>IF(S95="Use Local Value","Enter Local Value","")</f>
      </c>
      <c r="T96" s="304"/>
      <c r="U96" s="222"/>
      <c r="V96" s="222"/>
      <c r="W96" s="245"/>
      <c r="X96" s="245"/>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7"/>
      <c r="BH96" s="247"/>
      <c r="BI96" s="246"/>
      <c r="BJ96" s="246"/>
      <c r="BK96" s="246"/>
      <c r="BL96" s="246"/>
      <c r="BM96" s="246"/>
      <c r="BN96" s="246"/>
      <c r="BO96" s="246"/>
      <c r="BP96" s="246"/>
      <c r="BQ96" s="246"/>
      <c r="BR96" s="246"/>
      <c r="BS96" s="246"/>
      <c r="BT96" s="246"/>
      <c r="BU96" s="246"/>
      <c r="BV96" s="246"/>
      <c r="BW96" s="246"/>
      <c r="BX96" s="246"/>
      <c r="BY96" s="246"/>
      <c r="BZ96" s="246"/>
      <c r="CA96" s="246"/>
      <c r="CB96" s="246"/>
      <c r="CC96" s="246"/>
      <c r="CD96" s="246"/>
      <c r="CE96" s="246"/>
      <c r="CF96" s="246"/>
      <c r="CG96" s="246"/>
      <c r="CH96" s="246"/>
      <c r="CI96" s="246"/>
      <c r="CJ96" s="246"/>
      <c r="CK96" s="246"/>
      <c r="CL96" s="246"/>
      <c r="CM96" s="246"/>
      <c r="CN96" s="246"/>
      <c r="CO96" s="246"/>
      <c r="CP96" s="246"/>
      <c r="CQ96" s="246"/>
      <c r="CR96" s="246"/>
      <c r="CS96" s="246"/>
      <c r="CT96" s="246"/>
      <c r="CU96" s="246"/>
      <c r="CV96" s="246"/>
    </row>
    <row r="97" spans="1:100" s="248" customFormat="1" ht="17.25" customHeight="1" thickBot="1">
      <c r="A97" s="272"/>
      <c r="B97" s="268"/>
      <c r="C97" s="249"/>
      <c r="D97" s="249"/>
      <c r="E97" s="249"/>
      <c r="F97" s="249"/>
      <c r="G97" s="249"/>
      <c r="H97" s="249"/>
      <c r="I97" s="249"/>
      <c r="J97" s="250"/>
      <c r="K97" s="251"/>
      <c r="L97" s="250"/>
      <c r="M97" s="252"/>
      <c r="N97" s="250"/>
      <c r="O97" s="252"/>
      <c r="P97" s="250"/>
      <c r="Q97" s="252"/>
      <c r="R97" s="249"/>
      <c r="S97" s="250"/>
      <c r="T97" s="305"/>
      <c r="U97" s="249"/>
      <c r="V97" s="249"/>
      <c r="W97" s="249"/>
      <c r="X97" s="276"/>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3"/>
      <c r="AZ97" s="283"/>
      <c r="BA97" s="283"/>
      <c r="BB97" s="283"/>
      <c r="BC97" s="283"/>
      <c r="BD97" s="283"/>
      <c r="BE97" s="283"/>
      <c r="BF97" s="283"/>
      <c r="BG97" s="284"/>
      <c r="BH97" s="284"/>
      <c r="BI97" s="283"/>
      <c r="BJ97" s="283"/>
      <c r="BK97" s="283"/>
      <c r="BL97" s="283"/>
      <c r="BM97" s="283"/>
      <c r="BN97" s="283"/>
      <c r="BO97" s="283"/>
      <c r="BP97" s="283"/>
      <c r="BQ97" s="283"/>
      <c r="BR97" s="283"/>
      <c r="BS97" s="283"/>
      <c r="BT97" s="283"/>
      <c r="BU97" s="283"/>
      <c r="BV97" s="283"/>
      <c r="BW97" s="283"/>
      <c r="BX97" s="283"/>
      <c r="BY97" s="283"/>
      <c r="BZ97" s="283"/>
      <c r="CA97" s="283"/>
      <c r="CB97" s="283"/>
      <c r="CC97" s="283"/>
      <c r="CD97" s="283"/>
      <c r="CE97" s="283"/>
      <c r="CF97" s="283"/>
      <c r="CG97" s="283"/>
      <c r="CH97" s="283"/>
      <c r="CI97" s="283"/>
      <c r="CJ97" s="283"/>
      <c r="CK97" s="283"/>
      <c r="CL97" s="283"/>
      <c r="CM97" s="283"/>
      <c r="CN97" s="283"/>
      <c r="CO97" s="283"/>
      <c r="CP97" s="283"/>
      <c r="CQ97" s="283"/>
      <c r="CR97" s="283"/>
      <c r="CS97" s="283"/>
      <c r="CT97" s="283"/>
      <c r="CU97" s="283"/>
      <c r="CV97" s="283"/>
    </row>
    <row r="98" spans="1:100" s="253" customFormat="1" ht="15.75">
      <c r="A98" s="270" t="s">
        <v>30</v>
      </c>
      <c r="B98" s="266" t="s">
        <v>380</v>
      </c>
      <c r="C98" s="802">
        <f>IF(A98="No","",1-'RF model'!$C$14)</f>
      </c>
      <c r="D98" s="254"/>
      <c r="E98" s="255">
        <f>IF(A98="No","",0.6)</f>
      </c>
      <c r="F98" s="762" t="s">
        <v>17</v>
      </c>
      <c r="G98" s="256">
        <f>IF(A98="No","",IF(F98="Use Default",13.3*(VLOOKUP('Start Page'!$G$4,'RF Workings'!$E$3:$G$13,2)/'RF Workings'!$F$7),""))</f>
      </c>
      <c r="H98" s="762" t="s">
        <v>17</v>
      </c>
      <c r="I98" s="256">
        <f>IF(A98="No","",IF(H98="Use Default",0.7*(VLOOKUP('Start Page'!$G$4,'RF Workings'!$E$3:$G$13,2)/'RF Workings'!$F$7),""))</f>
      </c>
      <c r="J98" s="257" t="s">
        <v>17</v>
      </c>
      <c r="K98" s="801">
        <f>IF(A98="No","",IF(J98="Use Default",IF($F$1="Non-PTE",$AB$3,$AA$3),""))</f>
      </c>
      <c r="L98" s="258" t="s">
        <v>17</v>
      </c>
      <c r="M98" s="259">
        <f>IF(A98="No","",IF(L98="Use Default",IF($F$1="Non-PTE",$AB$4,$AA$4),""))</f>
      </c>
      <c r="N98" s="258" t="s">
        <v>17</v>
      </c>
      <c r="O98" s="800">
        <f>IF(A98="No","",IF(N98="Use Default",IF($F$1="Non-PTE",$AB$5,$AA$5),""))</f>
      </c>
      <c r="P98" s="258" t="s">
        <v>17</v>
      </c>
      <c r="Q98" s="801">
        <f>IF(A98="No","",(IF(P98="Use Default",IF($F$1="Non-PTE",$AB$6,$AA$6),"")))</f>
      </c>
      <c r="R98" s="260"/>
      <c r="S98" s="258" t="s">
        <v>17</v>
      </c>
      <c r="T98" s="303">
        <f>IF(A98="No","",IF(S98="Use Default",IF('MCC Model '!$F$1="Non-PTE",$AB$7,$AA$7),""))</f>
      </c>
      <c r="U98" s="255">
        <f>IF(A98="No","",0.66)</f>
      </c>
      <c r="V98" s="433">
        <f>IF(A98="Yes",(IF(BA98&lt;0,0,BA98)),"")</f>
      </c>
      <c r="W98" s="434">
        <f>IF(A98="Yes",V98*C98*D98,"")</f>
      </c>
      <c r="X98" s="275"/>
      <c r="Y98" s="278"/>
      <c r="Z98" s="278"/>
      <c r="AA98" s="278">
        <f>IF(F88="Non-PTE",AB95,AA95)</f>
        <v>6</v>
      </c>
      <c r="AB98" s="279" t="e">
        <f>IF(AND(N98="Use Default",P98="Use Default"),Q98/O98,IF(AND(N98="Use Local Value",P98="Use Default"),Q98/O99,IF(AND(N98="Use Default",P98="Use Local Value"),Q99/O98,IF(AND(N98="Use Local Value",P98="Use Local Value"),Q99/O99))))*IF($M98="",$M99,$M98)/IF($Q98="",Q99,$Q98)</f>
        <v>#VALUE!</v>
      </c>
      <c r="AC98" s="279" t="e">
        <f>AA98*AB98</f>
        <v>#VALUE!</v>
      </c>
      <c r="AD98" s="279" t="e">
        <f>1/IF(Q98="",Q99,Q98)</f>
        <v>#DIV/0!</v>
      </c>
      <c r="AE98" s="279" t="e">
        <f>AA98*((AC98+AD98)/AC98)^E98</f>
        <v>#VALUE!</v>
      </c>
      <c r="AF98" s="279" t="e">
        <f>AA98/((IF(K98="",K99,K98)/(IF(Q98="",Q99,Q98)*2)))</f>
        <v>#DIV/0!</v>
      </c>
      <c r="AG98" s="279" t="e">
        <f>AF98/2</f>
        <v>#DIV/0!</v>
      </c>
      <c r="AH98" s="279" t="e">
        <f>AE98/((IF(K98="",K99,K98)/(IF(Q98="",Q99,Q98)*2)))</f>
        <v>#VALUE!</v>
      </c>
      <c r="AI98" s="279" t="e">
        <f>AH98/2</f>
        <v>#VALUE!</v>
      </c>
      <c r="AJ98" s="279" t="e">
        <f>AI98-AG98</f>
        <v>#VALUE!</v>
      </c>
      <c r="AK98" s="280" t="e">
        <f>AJ98*IF(F98="Use Default",G98,G99)</f>
        <v>#VALUE!</v>
      </c>
      <c r="AL98" s="279" t="e">
        <f>AA98*IF(K98="",K99,K98)/((IF(K98="",K99,K98)/(IF(Q98="",Q99,Q98)*2)))</f>
        <v>#DIV/0!</v>
      </c>
      <c r="AM98" s="278" t="e">
        <f>AL98/2</f>
        <v>#DIV/0!</v>
      </c>
      <c r="AN98" s="279" t="e">
        <f>AE98*IF(K98="",K99,K98)/((IF(K98="",K99,K98)/(IF(Q98="",Q99,Q98)*2)))</f>
        <v>#VALUE!</v>
      </c>
      <c r="AO98" s="278" t="e">
        <f>AN98/2</f>
        <v>#VALUE!</v>
      </c>
      <c r="AP98" s="278" t="e">
        <f>AO98-AM98</f>
        <v>#VALUE!</v>
      </c>
      <c r="AQ98" s="280" t="e">
        <f>AP98*IF(H98="Use Default",I98,I99)</f>
        <v>#VALUE!</v>
      </c>
      <c r="AR98" s="280" t="e">
        <f>AQ98+AK98</f>
        <v>#VALUE!</v>
      </c>
      <c r="AS98" s="281" t="e">
        <f>(AE98-AA98)/AA98</f>
        <v>#VALUE!</v>
      </c>
      <c r="AT98" s="281" t="e">
        <f>AS98*U98</f>
        <v>#VALUE!</v>
      </c>
      <c r="AU98" s="282" t="e">
        <f>AC98*IF(Q98="",Q99,Q98)*2</f>
        <v>#VALUE!</v>
      </c>
      <c r="AV98" s="278" t="e">
        <f>AU98/2</f>
        <v>#VALUE!</v>
      </c>
      <c r="AW98" s="282" t="e">
        <f>AV98*IF(T98="",T99,T98)</f>
        <v>#VALUE!</v>
      </c>
      <c r="AX98" s="279" t="e">
        <f>AW98*AT98</f>
        <v>#VALUE!</v>
      </c>
      <c r="AY98" s="280" t="e">
        <f>AX98*R98</f>
        <v>#VALUE!</v>
      </c>
      <c r="AZ98" s="280" t="e">
        <f>AX98*'AC model'!$D$18</f>
        <v>#VALUE!</v>
      </c>
      <c r="BA98" s="280" t="e">
        <f>AR98-AY98+AZ98</f>
        <v>#VALUE!</v>
      </c>
      <c r="BB98" s="278"/>
      <c r="BC98" s="278"/>
      <c r="BD98" s="278"/>
      <c r="BE98" s="278"/>
      <c r="BF98" s="278"/>
      <c r="BG98" s="278"/>
      <c r="BH98" s="278"/>
      <c r="BI98" s="278"/>
      <c r="BJ98" s="278"/>
      <c r="BK98" s="278"/>
      <c r="BL98" s="278"/>
      <c r="BM98" s="278"/>
      <c r="BN98" s="278"/>
      <c r="BO98" s="278"/>
      <c r="BP98" s="278"/>
      <c r="BQ98" s="278"/>
      <c r="BR98" s="278"/>
      <c r="BS98" s="278"/>
      <c r="BT98" s="278"/>
      <c r="BU98" s="278"/>
      <c r="BV98" s="278"/>
      <c r="BW98" s="278"/>
      <c r="BX98" s="278"/>
      <c r="BY98" s="278"/>
      <c r="BZ98" s="278"/>
      <c r="CA98" s="278"/>
      <c r="CB98" s="278"/>
      <c r="CC98" s="278"/>
      <c r="CD98" s="278"/>
      <c r="CE98" s="278"/>
      <c r="CF98" s="278"/>
      <c r="CG98" s="278"/>
      <c r="CH98" s="278"/>
      <c r="CI98" s="278"/>
      <c r="CJ98" s="278"/>
      <c r="CK98" s="278"/>
      <c r="CL98" s="278"/>
      <c r="CM98" s="278"/>
      <c r="CN98" s="278"/>
      <c r="CO98" s="278"/>
      <c r="CP98" s="278"/>
      <c r="CQ98" s="278"/>
      <c r="CR98" s="278"/>
      <c r="CS98" s="278"/>
      <c r="CT98" s="278"/>
      <c r="CU98" s="278"/>
      <c r="CV98" s="278"/>
    </row>
    <row r="99" spans="1:100" s="231" customFormat="1" ht="15.75">
      <c r="A99" s="271"/>
      <c r="B99" s="267"/>
      <c r="C99" s="222"/>
      <c r="D99" s="222"/>
      <c r="E99" s="222"/>
      <c r="F99" s="224">
        <f>IF(F98="Use Local Value","Enter Local Value","")</f>
      </c>
      <c r="G99" s="763"/>
      <c r="H99" s="224">
        <f>IF(H98="Use Local Value","Enter Local Value","")</f>
      </c>
      <c r="I99" s="763"/>
      <c r="J99" s="224">
        <f>IF(J98="Use Local Value","Enter Local Value","")</f>
      </c>
      <c r="K99" s="225"/>
      <c r="L99" s="224">
        <f>IF(L98="Use Local Value","Enter Local Value","")</f>
      </c>
      <c r="M99" s="226"/>
      <c r="N99" s="224">
        <f>IF(N98="Use Local Value","Enter Local Value","")</f>
      </c>
      <c r="O99" s="226"/>
      <c r="P99" s="224">
        <f>IF(P98="Use Local Value","Enter Local Value","")</f>
      </c>
      <c r="Q99" s="226"/>
      <c r="R99" s="222"/>
      <c r="S99" s="224">
        <f>IF(S98="Use Local Value","Enter Local Value","")</f>
      </c>
      <c r="T99" s="304"/>
      <c r="U99" s="222"/>
      <c r="V99" s="222"/>
      <c r="W99" s="245"/>
      <c r="X99" s="245"/>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7"/>
      <c r="BH99" s="247"/>
      <c r="BI99" s="246"/>
      <c r="BJ99" s="246"/>
      <c r="BK99" s="246"/>
      <c r="BL99" s="246"/>
      <c r="BM99" s="246"/>
      <c r="BN99" s="246"/>
      <c r="BO99" s="246"/>
      <c r="BP99" s="246"/>
      <c r="BQ99" s="246"/>
      <c r="BR99" s="246"/>
      <c r="BS99" s="246"/>
      <c r="BT99" s="246"/>
      <c r="BU99" s="246"/>
      <c r="BV99" s="246"/>
      <c r="BW99" s="246"/>
      <c r="BX99" s="246"/>
      <c r="BY99" s="246"/>
      <c r="BZ99" s="246"/>
      <c r="CA99" s="246"/>
      <c r="CB99" s="246"/>
      <c r="CC99" s="246"/>
      <c r="CD99" s="246"/>
      <c r="CE99" s="246"/>
      <c r="CF99" s="246"/>
      <c r="CG99" s="246"/>
      <c r="CH99" s="246"/>
      <c r="CI99" s="246"/>
      <c r="CJ99" s="246"/>
      <c r="CK99" s="246"/>
      <c r="CL99" s="246"/>
      <c r="CM99" s="246"/>
      <c r="CN99" s="246"/>
      <c r="CO99" s="246"/>
      <c r="CP99" s="246"/>
      <c r="CQ99" s="246"/>
      <c r="CR99" s="246"/>
      <c r="CS99" s="246"/>
      <c r="CT99" s="246"/>
      <c r="CU99" s="246"/>
      <c r="CV99" s="246"/>
    </row>
    <row r="100" spans="1:100" s="248" customFormat="1" ht="17.25" customHeight="1" thickBot="1">
      <c r="A100" s="272"/>
      <c r="B100" s="268"/>
      <c r="C100" s="249"/>
      <c r="D100" s="249"/>
      <c r="E100" s="249"/>
      <c r="F100" s="249"/>
      <c r="G100" s="249"/>
      <c r="H100" s="249"/>
      <c r="I100" s="249"/>
      <c r="J100" s="250"/>
      <c r="K100" s="251"/>
      <c r="L100" s="250"/>
      <c r="M100" s="252"/>
      <c r="N100" s="250"/>
      <c r="O100" s="252"/>
      <c r="P100" s="250"/>
      <c r="Q100" s="252"/>
      <c r="R100" s="249"/>
      <c r="S100" s="250"/>
      <c r="T100" s="305"/>
      <c r="U100" s="249"/>
      <c r="V100" s="249"/>
      <c r="W100" s="249"/>
      <c r="X100" s="276"/>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c r="BB100" s="283"/>
      <c r="BC100" s="283"/>
      <c r="BD100" s="283"/>
      <c r="BE100" s="283"/>
      <c r="BF100" s="283"/>
      <c r="BG100" s="284"/>
      <c r="BH100" s="284"/>
      <c r="BI100" s="283"/>
      <c r="BJ100" s="283"/>
      <c r="BK100" s="283"/>
      <c r="BL100" s="283"/>
      <c r="BM100" s="283"/>
      <c r="BN100" s="283"/>
      <c r="BO100" s="283"/>
      <c r="BP100" s="283"/>
      <c r="BQ100" s="283"/>
      <c r="BR100" s="283"/>
      <c r="BS100" s="283"/>
      <c r="BT100" s="283"/>
      <c r="BU100" s="283"/>
      <c r="BV100" s="283"/>
      <c r="BW100" s="283"/>
      <c r="BX100" s="283"/>
      <c r="BY100" s="283"/>
      <c r="BZ100" s="283"/>
      <c r="CA100" s="283"/>
      <c r="CB100" s="283"/>
      <c r="CC100" s="283"/>
      <c r="CD100" s="283"/>
      <c r="CE100" s="283"/>
      <c r="CF100" s="283"/>
      <c r="CG100" s="283"/>
      <c r="CH100" s="283"/>
      <c r="CI100" s="283"/>
      <c r="CJ100" s="283"/>
      <c r="CK100" s="283"/>
      <c r="CL100" s="283"/>
      <c r="CM100" s="283"/>
      <c r="CN100" s="283"/>
      <c r="CO100" s="283"/>
      <c r="CP100" s="283"/>
      <c r="CQ100" s="283"/>
      <c r="CR100" s="283"/>
      <c r="CS100" s="283"/>
      <c r="CT100" s="283"/>
      <c r="CU100" s="283"/>
      <c r="CV100" s="283"/>
    </row>
    <row r="101" spans="1:100" s="253" customFormat="1" ht="15.75">
      <c r="A101" s="270" t="s">
        <v>30</v>
      </c>
      <c r="B101" s="266" t="s">
        <v>380</v>
      </c>
      <c r="C101" s="802">
        <f>IF(A101="No","",1-'RF model'!$C$14)</f>
      </c>
      <c r="D101" s="254"/>
      <c r="E101" s="255">
        <f>IF(A101="No","",0.6)</f>
      </c>
      <c r="F101" s="762" t="s">
        <v>17</v>
      </c>
      <c r="G101" s="256">
        <f>IF(A101="No","",IF(F101="Use Default",13.3*(VLOOKUP('Start Page'!$G$4,'RF Workings'!$E$3:$G$13,2)/'RF Workings'!$F$7),""))</f>
      </c>
      <c r="H101" s="762" t="s">
        <v>17</v>
      </c>
      <c r="I101" s="256">
        <f>IF(A101="No","",IF(H101="Use Default",0.7*(VLOOKUP('Start Page'!$G$4,'RF Workings'!$E$3:$G$13,2)/'RF Workings'!$F$7),""))</f>
      </c>
      <c r="J101" s="257" t="s">
        <v>17</v>
      </c>
      <c r="K101" s="801">
        <f>IF(A101="No","",IF(J101="Use Default",IF($F$1="Non-PTE",$AB$3,$AA$3),""))</f>
      </c>
      <c r="L101" s="258" t="s">
        <v>17</v>
      </c>
      <c r="M101" s="259">
        <f>IF(A101="No","",IF(L101="Use Default",IF($F$1="Non-PTE",$AB$4,$AA$4),""))</f>
      </c>
      <c r="N101" s="258" t="s">
        <v>17</v>
      </c>
      <c r="O101" s="800">
        <f>IF(A101="No","",IF(N101="Use Default",IF($F$1="Non-PTE",$AB$5,$AA$5),""))</f>
      </c>
      <c r="P101" s="258" t="s">
        <v>17</v>
      </c>
      <c r="Q101" s="801">
        <f>IF(A101="No","",(IF(P101="Use Default",IF($F$1="Non-PTE",$AB$6,$AA$6),"")))</f>
      </c>
      <c r="R101" s="260"/>
      <c r="S101" s="258" t="s">
        <v>17</v>
      </c>
      <c r="T101" s="303">
        <f>IF(A101="No","",IF(S101="Use Default",IF('MCC Model '!$F$1="Non-PTE",$AB$7,$AA$7),""))</f>
      </c>
      <c r="U101" s="255">
        <f>IF(A101="No","",0.66)</f>
      </c>
      <c r="V101" s="433">
        <f>IF(A101="Yes",(IF(BA101&lt;0,0,BA101)),"")</f>
      </c>
      <c r="W101" s="434">
        <f>IF(A101="Yes",V101*C101*D101,"")</f>
      </c>
      <c r="X101" s="275"/>
      <c r="Y101" s="278"/>
      <c r="Z101" s="278"/>
      <c r="AA101" s="278">
        <f>IF(F91="Non-PTE",AB98,AA98)</f>
        <v>6</v>
      </c>
      <c r="AB101" s="279" t="e">
        <f>IF(AND(N101="Use Default",P101="Use Default"),Q101/O101,IF(AND(N101="Use Local Value",P101="Use Default"),Q101/O102,IF(AND(N101="Use Default",P101="Use Local Value"),Q102/O101,IF(AND(N101="Use Local Value",P101="Use Local Value"),Q102/O102))))*IF($M101="",$M102,$M101)/IF($Q101="",Q102,$Q101)</f>
        <v>#VALUE!</v>
      </c>
      <c r="AC101" s="279" t="e">
        <f>AA101*AB101</f>
        <v>#VALUE!</v>
      </c>
      <c r="AD101" s="279" t="e">
        <f>1/IF(Q101="",Q102,Q101)</f>
        <v>#DIV/0!</v>
      </c>
      <c r="AE101" s="279" t="e">
        <f>AA101*((AC101+AD101)/AC101)^E101</f>
        <v>#VALUE!</v>
      </c>
      <c r="AF101" s="279" t="e">
        <f>AA101/((IF(K101="",K102,K101)/(IF(Q101="",Q102,Q101)*2)))</f>
        <v>#DIV/0!</v>
      </c>
      <c r="AG101" s="279" t="e">
        <f>AF101/2</f>
        <v>#DIV/0!</v>
      </c>
      <c r="AH101" s="279" t="e">
        <f>AE101/((IF(K101="",K102,K101)/(IF(Q101="",Q102,Q101)*2)))</f>
        <v>#VALUE!</v>
      </c>
      <c r="AI101" s="279" t="e">
        <f>AH101/2</f>
        <v>#VALUE!</v>
      </c>
      <c r="AJ101" s="279" t="e">
        <f>AI101-AG101</f>
        <v>#VALUE!</v>
      </c>
      <c r="AK101" s="280" t="e">
        <f>AJ101*IF(F101="Use Default",G101,G102)</f>
        <v>#VALUE!</v>
      </c>
      <c r="AL101" s="279" t="e">
        <f>AA101*IF(K101="",K102,K101)/((IF(K101="",K102,K101)/(IF(Q101="",Q102,Q101)*2)))</f>
        <v>#DIV/0!</v>
      </c>
      <c r="AM101" s="278" t="e">
        <f>AL101/2</f>
        <v>#DIV/0!</v>
      </c>
      <c r="AN101" s="279" t="e">
        <f>AE101*IF(K101="",K102,K101)/((IF(K101="",K102,K101)/(IF(Q101="",Q102,Q101)*2)))</f>
        <v>#VALUE!</v>
      </c>
      <c r="AO101" s="278" t="e">
        <f>AN101/2</f>
        <v>#VALUE!</v>
      </c>
      <c r="AP101" s="278" t="e">
        <f>AO101-AM101</f>
        <v>#VALUE!</v>
      </c>
      <c r="AQ101" s="280" t="e">
        <f>AP101*IF(H101="Use Default",I101,I102)</f>
        <v>#VALUE!</v>
      </c>
      <c r="AR101" s="280" t="e">
        <f>AQ101+AK101</f>
        <v>#VALUE!</v>
      </c>
      <c r="AS101" s="281" t="e">
        <f>(AE101-AA101)/AA101</f>
        <v>#VALUE!</v>
      </c>
      <c r="AT101" s="281" t="e">
        <f>AS101*U101</f>
        <v>#VALUE!</v>
      </c>
      <c r="AU101" s="282" t="e">
        <f>AC101*IF(Q101="",Q102,Q101)*2</f>
        <v>#VALUE!</v>
      </c>
      <c r="AV101" s="278" t="e">
        <f>AU101/2</f>
        <v>#VALUE!</v>
      </c>
      <c r="AW101" s="282" t="e">
        <f>AV101*IF(T101="",T102,T101)</f>
        <v>#VALUE!</v>
      </c>
      <c r="AX101" s="279" t="e">
        <f>AW101*AT101</f>
        <v>#VALUE!</v>
      </c>
      <c r="AY101" s="280" t="e">
        <f>AX101*R101</f>
        <v>#VALUE!</v>
      </c>
      <c r="AZ101" s="280" t="e">
        <f>AX101*'AC model'!$D$18</f>
        <v>#VALUE!</v>
      </c>
      <c r="BA101" s="280" t="e">
        <f>AR101-AY101+AZ101</f>
        <v>#VALUE!</v>
      </c>
      <c r="BB101" s="278"/>
      <c r="BC101" s="278"/>
      <c r="BD101" s="278"/>
      <c r="BE101" s="278"/>
      <c r="BF101" s="278"/>
      <c r="BG101" s="278"/>
      <c r="BH101" s="278"/>
      <c r="BI101" s="278"/>
      <c r="BJ101" s="278"/>
      <c r="BK101" s="278"/>
      <c r="BL101" s="278"/>
      <c r="BM101" s="278"/>
      <c r="BN101" s="278"/>
      <c r="BO101" s="278"/>
      <c r="BP101" s="278"/>
      <c r="BQ101" s="278"/>
      <c r="BR101" s="278"/>
      <c r="BS101" s="278"/>
      <c r="BT101" s="278"/>
      <c r="BU101" s="278"/>
      <c r="BV101" s="278"/>
      <c r="BW101" s="278"/>
      <c r="BX101" s="278"/>
      <c r="BY101" s="278"/>
      <c r="BZ101" s="278"/>
      <c r="CA101" s="278"/>
      <c r="CB101" s="278"/>
      <c r="CC101" s="278"/>
      <c r="CD101" s="278"/>
      <c r="CE101" s="278"/>
      <c r="CF101" s="278"/>
      <c r="CG101" s="278"/>
      <c r="CH101" s="278"/>
      <c r="CI101" s="278"/>
      <c r="CJ101" s="278"/>
      <c r="CK101" s="278"/>
      <c r="CL101" s="278"/>
      <c r="CM101" s="278"/>
      <c r="CN101" s="278"/>
      <c r="CO101" s="278"/>
      <c r="CP101" s="278"/>
      <c r="CQ101" s="278"/>
      <c r="CR101" s="278"/>
      <c r="CS101" s="278"/>
      <c r="CT101" s="278"/>
      <c r="CU101" s="278"/>
      <c r="CV101" s="278"/>
    </row>
    <row r="102" spans="1:100" s="231" customFormat="1" ht="15.75">
      <c r="A102" s="271"/>
      <c r="B102" s="267"/>
      <c r="C102" s="222"/>
      <c r="D102" s="222"/>
      <c r="E102" s="222"/>
      <c r="F102" s="224">
        <f>IF(F101="Use Local Value","Enter Local Value","")</f>
      </c>
      <c r="G102" s="763"/>
      <c r="H102" s="224">
        <f>IF(H101="Use Local Value","Enter Local Value","")</f>
      </c>
      <c r="I102" s="763"/>
      <c r="J102" s="224">
        <f>IF(J101="Use Local Value","Enter Local Value","")</f>
      </c>
      <c r="K102" s="225"/>
      <c r="L102" s="224">
        <f>IF(L101="Use Local Value","Enter Local Value","")</f>
      </c>
      <c r="M102" s="226"/>
      <c r="N102" s="224">
        <f>IF(N101="Use Local Value","Enter Local Value","")</f>
      </c>
      <c r="O102" s="226"/>
      <c r="P102" s="224">
        <f>IF(P101="Use Local Value","Enter Local Value","")</f>
      </c>
      <c r="Q102" s="226"/>
      <c r="R102" s="222"/>
      <c r="S102" s="224">
        <f>IF(S101="Use Local Value","Enter Local Value","")</f>
      </c>
      <c r="T102" s="304"/>
      <c r="U102" s="222"/>
      <c r="V102" s="222"/>
      <c r="W102" s="245"/>
      <c r="X102" s="245"/>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7"/>
      <c r="BH102" s="247"/>
      <c r="BI102" s="246"/>
      <c r="BJ102" s="246"/>
      <c r="BK102" s="246"/>
      <c r="BL102" s="246"/>
      <c r="BM102" s="246"/>
      <c r="BN102" s="246"/>
      <c r="BO102" s="246"/>
      <c r="BP102" s="246"/>
      <c r="BQ102" s="246"/>
      <c r="BR102" s="246"/>
      <c r="BS102" s="246"/>
      <c r="BT102" s="246"/>
      <c r="BU102" s="246"/>
      <c r="BV102" s="246"/>
      <c r="BW102" s="246"/>
      <c r="BX102" s="246"/>
      <c r="BY102" s="246"/>
      <c r="BZ102" s="246"/>
      <c r="CA102" s="246"/>
      <c r="CB102" s="246"/>
      <c r="CC102" s="246"/>
      <c r="CD102" s="246"/>
      <c r="CE102" s="246"/>
      <c r="CF102" s="246"/>
      <c r="CG102" s="246"/>
      <c r="CH102" s="246"/>
      <c r="CI102" s="246"/>
      <c r="CJ102" s="246"/>
      <c r="CK102" s="246"/>
      <c r="CL102" s="246"/>
      <c r="CM102" s="246"/>
      <c r="CN102" s="246"/>
      <c r="CO102" s="246"/>
      <c r="CP102" s="246"/>
      <c r="CQ102" s="246"/>
      <c r="CR102" s="246"/>
      <c r="CS102" s="246"/>
      <c r="CT102" s="246"/>
      <c r="CU102" s="246"/>
      <c r="CV102" s="246"/>
    </row>
    <row r="103" spans="1:100" s="248" customFormat="1" ht="17.25" customHeight="1" thickBot="1">
      <c r="A103" s="272"/>
      <c r="B103" s="268"/>
      <c r="C103" s="249"/>
      <c r="D103" s="249"/>
      <c r="E103" s="249"/>
      <c r="F103" s="249"/>
      <c r="G103" s="249"/>
      <c r="H103" s="249"/>
      <c r="I103" s="249"/>
      <c r="J103" s="250"/>
      <c r="K103" s="251"/>
      <c r="L103" s="250"/>
      <c r="M103" s="252"/>
      <c r="N103" s="250"/>
      <c r="O103" s="252"/>
      <c r="P103" s="250"/>
      <c r="Q103" s="252"/>
      <c r="R103" s="249"/>
      <c r="S103" s="250"/>
      <c r="T103" s="305"/>
      <c r="U103" s="249"/>
      <c r="V103" s="249"/>
      <c r="W103" s="249"/>
      <c r="X103" s="276"/>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3"/>
      <c r="AZ103" s="283"/>
      <c r="BA103" s="283"/>
      <c r="BB103" s="283"/>
      <c r="BC103" s="283"/>
      <c r="BD103" s="283"/>
      <c r="BE103" s="283"/>
      <c r="BF103" s="283"/>
      <c r="BG103" s="284"/>
      <c r="BH103" s="284"/>
      <c r="BI103" s="283"/>
      <c r="BJ103" s="283"/>
      <c r="BK103" s="283"/>
      <c r="BL103" s="283"/>
      <c r="BM103" s="283"/>
      <c r="BN103" s="283"/>
      <c r="BO103" s="283"/>
      <c r="BP103" s="283"/>
      <c r="BQ103" s="283"/>
      <c r="BR103" s="283"/>
      <c r="BS103" s="283"/>
      <c r="BT103" s="283"/>
      <c r="BU103" s="283"/>
      <c r="BV103" s="283"/>
      <c r="BW103" s="283"/>
      <c r="BX103" s="283"/>
      <c r="BY103" s="283"/>
      <c r="BZ103" s="283"/>
      <c r="CA103" s="283"/>
      <c r="CB103" s="283"/>
      <c r="CC103" s="283"/>
      <c r="CD103" s="283"/>
      <c r="CE103" s="283"/>
      <c r="CF103" s="283"/>
      <c r="CG103" s="283"/>
      <c r="CH103" s="283"/>
      <c r="CI103" s="283"/>
      <c r="CJ103" s="283"/>
      <c r="CK103" s="283"/>
      <c r="CL103" s="283"/>
      <c r="CM103" s="283"/>
      <c r="CN103" s="283"/>
      <c r="CO103" s="283"/>
      <c r="CP103" s="283"/>
      <c r="CQ103" s="283"/>
      <c r="CR103" s="283"/>
      <c r="CS103" s="283"/>
      <c r="CT103" s="283"/>
      <c r="CU103" s="283"/>
      <c r="CV103" s="283"/>
    </row>
    <row r="104" spans="1:100" s="253" customFormat="1" ht="15.75">
      <c r="A104" s="270" t="s">
        <v>30</v>
      </c>
      <c r="B104" s="266" t="s">
        <v>380</v>
      </c>
      <c r="C104" s="802">
        <f>IF(A104="No","",1-'RF model'!$C$14)</f>
      </c>
      <c r="D104" s="254"/>
      <c r="E104" s="255">
        <f>IF(A104="No","",0.6)</f>
      </c>
      <c r="F104" s="762" t="s">
        <v>17</v>
      </c>
      <c r="G104" s="256">
        <f>IF(A104="No","",IF(F104="Use Default",13.3*(VLOOKUP('Start Page'!$G$4,'RF Workings'!$E$3:$G$13,2)/'RF Workings'!$F$7),""))</f>
      </c>
      <c r="H104" s="762" t="s">
        <v>17</v>
      </c>
      <c r="I104" s="256">
        <f>IF(A104="No","",IF(H104="Use Default",0.7*(VLOOKUP('Start Page'!$G$4,'RF Workings'!$E$3:$G$13,2)/'RF Workings'!$F$7),""))</f>
      </c>
      <c r="J104" s="257" t="s">
        <v>17</v>
      </c>
      <c r="K104" s="801">
        <f>IF(A104="No","",IF(J104="Use Default",IF($F$1="Non-PTE",$AB$3,$AA$3),""))</f>
      </c>
      <c r="L104" s="258" t="s">
        <v>17</v>
      </c>
      <c r="M104" s="259">
        <f>IF(A104="No","",IF(L104="Use Default",IF($F$1="Non-PTE",$AB$4,$AA$4),""))</f>
      </c>
      <c r="N104" s="258" t="s">
        <v>17</v>
      </c>
      <c r="O104" s="800">
        <f>IF(A104="No","",IF(N104="Use Default",IF($F$1="Non-PTE",$AB$5,$AA$5),""))</f>
      </c>
      <c r="P104" s="258" t="s">
        <v>17</v>
      </c>
      <c r="Q104" s="801">
        <f>IF(A104="No","",(IF(P104="Use Default",IF($F$1="Non-PTE",$AB$6,$AA$6),"")))</f>
      </c>
      <c r="R104" s="260"/>
      <c r="S104" s="258" t="s">
        <v>17</v>
      </c>
      <c r="T104" s="303">
        <f>IF(A104="No","",IF(S104="Use Default",IF('MCC Model '!$F$1="Non-PTE",$AB$7,$AA$7),""))</f>
      </c>
      <c r="U104" s="255">
        <f>IF(A104="No","",0.66)</f>
      </c>
      <c r="V104" s="433">
        <f>IF(A104="Yes",(IF(BA104&lt;0,0,BA104)),"")</f>
      </c>
      <c r="W104" s="434">
        <f>IF(A104="Yes",V104*C104*D104,"")</f>
      </c>
      <c r="X104" s="275"/>
      <c r="Y104" s="278"/>
      <c r="Z104" s="278"/>
      <c r="AA104" s="278">
        <f>IF(F94="Non-PTE",AB101,AA101)</f>
        <v>6</v>
      </c>
      <c r="AB104" s="279" t="e">
        <f>IF(AND(N104="Use Default",P104="Use Default"),Q104/O104,IF(AND(N104="Use Local Value",P104="Use Default"),Q104/O105,IF(AND(N104="Use Default",P104="Use Local Value"),Q105/O104,IF(AND(N104="Use Local Value",P104="Use Local Value"),Q105/O105))))*IF($M104="",$M105,$M104)/IF($Q104="",Q105,$Q104)</f>
        <v>#VALUE!</v>
      </c>
      <c r="AC104" s="279" t="e">
        <f>AA104*AB104</f>
        <v>#VALUE!</v>
      </c>
      <c r="AD104" s="279" t="e">
        <f>1/IF(Q104="",Q105,Q104)</f>
        <v>#DIV/0!</v>
      </c>
      <c r="AE104" s="279" t="e">
        <f>AA104*((AC104+AD104)/AC104)^E104</f>
        <v>#VALUE!</v>
      </c>
      <c r="AF104" s="279" t="e">
        <f>AA104/((IF(K104="",K105,K104)/(IF(Q104="",Q105,Q104)*2)))</f>
        <v>#DIV/0!</v>
      </c>
      <c r="AG104" s="279" t="e">
        <f>AF104/2</f>
        <v>#DIV/0!</v>
      </c>
      <c r="AH104" s="279" t="e">
        <f>AE104/((IF(K104="",K105,K104)/(IF(Q104="",Q105,Q104)*2)))</f>
        <v>#VALUE!</v>
      </c>
      <c r="AI104" s="279" t="e">
        <f>AH104/2</f>
        <v>#VALUE!</v>
      </c>
      <c r="AJ104" s="279" t="e">
        <f>AI104-AG104</f>
        <v>#VALUE!</v>
      </c>
      <c r="AK104" s="280" t="e">
        <f>AJ104*IF(F104="Use Default",G104,G105)</f>
        <v>#VALUE!</v>
      </c>
      <c r="AL104" s="279" t="e">
        <f>AA104*IF(K104="",K105,K104)/((IF(K104="",K105,K104)/(IF(Q104="",Q105,Q104)*2)))</f>
        <v>#DIV/0!</v>
      </c>
      <c r="AM104" s="278" t="e">
        <f>AL104/2</f>
        <v>#DIV/0!</v>
      </c>
      <c r="AN104" s="279" t="e">
        <f>AE104*IF(K104="",K105,K104)/((IF(K104="",K105,K104)/(IF(Q104="",Q105,Q104)*2)))</f>
        <v>#VALUE!</v>
      </c>
      <c r="AO104" s="278" t="e">
        <f>AN104/2</f>
        <v>#VALUE!</v>
      </c>
      <c r="AP104" s="278" t="e">
        <f>AO104-AM104</f>
        <v>#VALUE!</v>
      </c>
      <c r="AQ104" s="280" t="e">
        <f>AP104*IF(H104="Use Default",I104,I105)</f>
        <v>#VALUE!</v>
      </c>
      <c r="AR104" s="280" t="e">
        <f>AQ104+AK104</f>
        <v>#VALUE!</v>
      </c>
      <c r="AS104" s="281" t="e">
        <f>(AE104-AA104)/AA104</f>
        <v>#VALUE!</v>
      </c>
      <c r="AT104" s="281" t="e">
        <f>AS104*U104</f>
        <v>#VALUE!</v>
      </c>
      <c r="AU104" s="282" t="e">
        <f>AC104*IF(Q104="",Q105,Q104)*2</f>
        <v>#VALUE!</v>
      </c>
      <c r="AV104" s="278" t="e">
        <f>AU104/2</f>
        <v>#VALUE!</v>
      </c>
      <c r="AW104" s="282" t="e">
        <f>AV104*IF(T104="",T105,T104)</f>
        <v>#VALUE!</v>
      </c>
      <c r="AX104" s="279" t="e">
        <f>AW104*AT104</f>
        <v>#VALUE!</v>
      </c>
      <c r="AY104" s="280" t="e">
        <f>AX104*R104</f>
        <v>#VALUE!</v>
      </c>
      <c r="AZ104" s="280" t="e">
        <f>AX104*'AC model'!$D$18</f>
        <v>#VALUE!</v>
      </c>
      <c r="BA104" s="280" t="e">
        <f>AR104-AY104+AZ104</f>
        <v>#VALUE!</v>
      </c>
      <c r="BB104" s="278"/>
      <c r="BC104" s="278"/>
      <c r="BD104" s="278"/>
      <c r="BE104" s="278"/>
      <c r="BF104" s="278"/>
      <c r="BG104" s="278"/>
      <c r="BH104" s="278"/>
      <c r="BI104" s="278"/>
      <c r="BJ104" s="278"/>
      <c r="BK104" s="278"/>
      <c r="BL104" s="278"/>
      <c r="BM104" s="278"/>
      <c r="BN104" s="278"/>
      <c r="BO104" s="278"/>
      <c r="BP104" s="278"/>
      <c r="BQ104" s="278"/>
      <c r="BR104" s="278"/>
      <c r="BS104" s="278"/>
      <c r="BT104" s="278"/>
      <c r="BU104" s="278"/>
      <c r="BV104" s="278"/>
      <c r="BW104" s="278"/>
      <c r="BX104" s="278"/>
      <c r="BY104" s="278"/>
      <c r="BZ104" s="278"/>
      <c r="CA104" s="278"/>
      <c r="CB104" s="278"/>
      <c r="CC104" s="278"/>
      <c r="CD104" s="278"/>
      <c r="CE104" s="278"/>
      <c r="CF104" s="278"/>
      <c r="CG104" s="278"/>
      <c r="CH104" s="278"/>
      <c r="CI104" s="278"/>
      <c r="CJ104" s="278"/>
      <c r="CK104" s="278"/>
      <c r="CL104" s="278"/>
      <c r="CM104" s="278"/>
      <c r="CN104" s="278"/>
      <c r="CO104" s="278"/>
      <c r="CP104" s="278"/>
      <c r="CQ104" s="278"/>
      <c r="CR104" s="278"/>
      <c r="CS104" s="278"/>
      <c r="CT104" s="278"/>
      <c r="CU104" s="278"/>
      <c r="CV104" s="278"/>
    </row>
    <row r="105" spans="1:100" s="231" customFormat="1" ht="15.75">
      <c r="A105" s="271"/>
      <c r="B105" s="267"/>
      <c r="C105" s="222"/>
      <c r="D105" s="222"/>
      <c r="E105" s="222"/>
      <c r="F105" s="224">
        <f>IF(F104="Use Local Value","Enter Local Value","")</f>
      </c>
      <c r="G105" s="763"/>
      <c r="H105" s="224">
        <f>IF(H104="Use Local Value","Enter Local Value","")</f>
      </c>
      <c r="I105" s="763"/>
      <c r="J105" s="224">
        <f>IF(J104="Use Local Value","Enter Local Value","")</f>
      </c>
      <c r="K105" s="225"/>
      <c r="L105" s="224">
        <f>IF(L104="Use Local Value","Enter Local Value","")</f>
      </c>
      <c r="M105" s="226"/>
      <c r="N105" s="224">
        <f>IF(N104="Use Local Value","Enter Local Value","")</f>
      </c>
      <c r="O105" s="226"/>
      <c r="P105" s="224">
        <f>IF(P104="Use Local Value","Enter Local Value","")</f>
      </c>
      <c r="Q105" s="226"/>
      <c r="R105" s="222"/>
      <c r="S105" s="224">
        <f>IF(S104="Use Local Value","Enter Local Value","")</f>
      </c>
      <c r="T105" s="304"/>
      <c r="U105" s="222"/>
      <c r="V105" s="222"/>
      <c r="W105" s="245"/>
      <c r="X105" s="245"/>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7"/>
      <c r="BH105" s="247"/>
      <c r="BI105" s="246"/>
      <c r="BJ105" s="246"/>
      <c r="BK105" s="246"/>
      <c r="BL105" s="246"/>
      <c r="BM105" s="246"/>
      <c r="BN105" s="246"/>
      <c r="BO105" s="246"/>
      <c r="BP105" s="246"/>
      <c r="BQ105" s="246"/>
      <c r="BR105" s="246"/>
      <c r="BS105" s="246"/>
      <c r="BT105" s="246"/>
      <c r="BU105" s="246"/>
      <c r="BV105" s="246"/>
      <c r="BW105" s="246"/>
      <c r="BX105" s="246"/>
      <c r="BY105" s="246"/>
      <c r="BZ105" s="246"/>
      <c r="CA105" s="246"/>
      <c r="CB105" s="246"/>
      <c r="CC105" s="246"/>
      <c r="CD105" s="246"/>
      <c r="CE105" s="246"/>
      <c r="CF105" s="246"/>
      <c r="CG105" s="246"/>
      <c r="CH105" s="246"/>
      <c r="CI105" s="246"/>
      <c r="CJ105" s="246"/>
      <c r="CK105" s="246"/>
      <c r="CL105" s="246"/>
      <c r="CM105" s="246"/>
      <c r="CN105" s="246"/>
      <c r="CO105" s="246"/>
      <c r="CP105" s="246"/>
      <c r="CQ105" s="246"/>
      <c r="CR105" s="246"/>
      <c r="CS105" s="246"/>
      <c r="CT105" s="246"/>
      <c r="CU105" s="246"/>
      <c r="CV105" s="246"/>
    </row>
    <row r="106" spans="1:100" s="248" customFormat="1" ht="17.25" customHeight="1" thickBot="1">
      <c r="A106" s="272"/>
      <c r="B106" s="268"/>
      <c r="C106" s="249"/>
      <c r="D106" s="249"/>
      <c r="E106" s="249"/>
      <c r="F106" s="249"/>
      <c r="G106" s="249"/>
      <c r="H106" s="249"/>
      <c r="I106" s="249"/>
      <c r="J106" s="250"/>
      <c r="K106" s="251"/>
      <c r="L106" s="250"/>
      <c r="M106" s="252"/>
      <c r="N106" s="250"/>
      <c r="O106" s="252"/>
      <c r="P106" s="250"/>
      <c r="Q106" s="252"/>
      <c r="R106" s="249"/>
      <c r="S106" s="250"/>
      <c r="T106" s="305"/>
      <c r="U106" s="249"/>
      <c r="V106" s="249"/>
      <c r="W106" s="249"/>
      <c r="X106" s="276"/>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3"/>
      <c r="AZ106" s="283"/>
      <c r="BA106" s="283"/>
      <c r="BB106" s="283"/>
      <c r="BC106" s="283"/>
      <c r="BD106" s="283"/>
      <c r="BE106" s="283"/>
      <c r="BF106" s="283"/>
      <c r="BG106" s="284"/>
      <c r="BH106" s="284"/>
      <c r="BI106" s="283"/>
      <c r="BJ106" s="283"/>
      <c r="BK106" s="283"/>
      <c r="BL106" s="283"/>
      <c r="BM106" s="283"/>
      <c r="BN106" s="283"/>
      <c r="BO106" s="283"/>
      <c r="BP106" s="283"/>
      <c r="BQ106" s="283"/>
      <c r="BR106" s="283"/>
      <c r="BS106" s="283"/>
      <c r="BT106" s="283"/>
      <c r="BU106" s="283"/>
      <c r="BV106" s="283"/>
      <c r="BW106" s="283"/>
      <c r="BX106" s="283"/>
      <c r="BY106" s="283"/>
      <c r="BZ106" s="283"/>
      <c r="CA106" s="283"/>
      <c r="CB106" s="283"/>
      <c r="CC106" s="283"/>
      <c r="CD106" s="283"/>
      <c r="CE106" s="283"/>
      <c r="CF106" s="283"/>
      <c r="CG106" s="283"/>
      <c r="CH106" s="283"/>
      <c r="CI106" s="283"/>
      <c r="CJ106" s="283"/>
      <c r="CK106" s="283"/>
      <c r="CL106" s="283"/>
      <c r="CM106" s="283"/>
      <c r="CN106" s="283"/>
      <c r="CO106" s="283"/>
      <c r="CP106" s="283"/>
      <c r="CQ106" s="283"/>
      <c r="CR106" s="283"/>
      <c r="CS106" s="283"/>
      <c r="CT106" s="283"/>
      <c r="CU106" s="283"/>
      <c r="CV106" s="283"/>
    </row>
    <row r="107" spans="1:100" s="253" customFormat="1" ht="15.75">
      <c r="A107" s="270" t="s">
        <v>30</v>
      </c>
      <c r="B107" s="266" t="s">
        <v>380</v>
      </c>
      <c r="C107" s="802">
        <f>IF(A107="No","",1-'RF model'!$C$14)</f>
      </c>
      <c r="D107" s="254"/>
      <c r="E107" s="255">
        <f>IF(A107="No","",0.6)</f>
      </c>
      <c r="F107" s="762" t="s">
        <v>17</v>
      </c>
      <c r="G107" s="256">
        <f>IF(A107="No","",IF(F107="Use Default",13.3*(VLOOKUP('Start Page'!$G$4,'RF Workings'!$E$3:$G$13,2)/'RF Workings'!$F$7),""))</f>
      </c>
      <c r="H107" s="762" t="s">
        <v>17</v>
      </c>
      <c r="I107" s="256">
        <f>IF(A107="No","",IF(H107="Use Default",0.7*(VLOOKUP('Start Page'!$G$4,'RF Workings'!$E$3:$G$13,2)/'RF Workings'!$F$7),""))</f>
      </c>
      <c r="J107" s="257" t="s">
        <v>17</v>
      </c>
      <c r="K107" s="801">
        <f>IF(A107="No","",IF(J107="Use Default",IF($F$1="Non-PTE",$AB$3,$AA$3),""))</f>
      </c>
      <c r="L107" s="258" t="s">
        <v>17</v>
      </c>
      <c r="M107" s="259">
        <f>IF(A107="No","",IF(L107="Use Default",IF($F$1="Non-PTE",$AB$4,$AA$4),""))</f>
      </c>
      <c r="N107" s="258" t="s">
        <v>17</v>
      </c>
      <c r="O107" s="800">
        <f>IF(A107="No","",IF(N107="Use Default",IF($F$1="Non-PTE",$AB$5,$AA$5),""))</f>
      </c>
      <c r="P107" s="258" t="s">
        <v>17</v>
      </c>
      <c r="Q107" s="801">
        <f>IF(A107="No","",(IF(P107="Use Default",IF($F$1="Non-PTE",$AB$6,$AA$6),"")))</f>
      </c>
      <c r="R107" s="260"/>
      <c r="S107" s="258" t="s">
        <v>17</v>
      </c>
      <c r="T107" s="303">
        <f>IF(A107="No","",IF(S107="Use Default",IF('MCC Model '!$F$1="Non-PTE",$AB$7,$AA$7),""))</f>
      </c>
      <c r="U107" s="255">
        <f>IF(A107="No","",0.66)</f>
      </c>
      <c r="V107" s="433">
        <f>IF(A107="Yes",(IF(BA107&lt;0,0,BA107)),"")</f>
      </c>
      <c r="W107" s="434">
        <f>IF(A107="Yes",V107*C107*D107,"")</f>
      </c>
      <c r="X107" s="275"/>
      <c r="Y107" s="278"/>
      <c r="Z107" s="278"/>
      <c r="AA107" s="278">
        <f>IF(F97="Non-PTE",AB104,AA104)</f>
        <v>6</v>
      </c>
      <c r="AB107" s="279" t="e">
        <f>IF(AND(N107="Use Default",P107="Use Default"),Q107/O107,IF(AND(N107="Use Local Value",P107="Use Default"),Q107/O108,IF(AND(N107="Use Default",P107="Use Local Value"),Q108/O107,IF(AND(N107="Use Local Value",P107="Use Local Value"),Q108/O108))))*IF($M107="",$M108,$M107)/IF($Q107="",Q108,$Q107)</f>
        <v>#VALUE!</v>
      </c>
      <c r="AC107" s="279" t="e">
        <f>AA107*AB107</f>
        <v>#VALUE!</v>
      </c>
      <c r="AD107" s="279" t="e">
        <f>1/IF(Q107="",Q108,Q107)</f>
        <v>#DIV/0!</v>
      </c>
      <c r="AE107" s="279" t="e">
        <f>AA107*((AC107+AD107)/AC107)^E107</f>
        <v>#VALUE!</v>
      </c>
      <c r="AF107" s="279" t="e">
        <f>AA107/((IF(K107="",K108,K107)/(IF(Q107="",Q108,Q107)*2)))</f>
        <v>#DIV/0!</v>
      </c>
      <c r="AG107" s="279" t="e">
        <f>AF107/2</f>
        <v>#DIV/0!</v>
      </c>
      <c r="AH107" s="279" t="e">
        <f>AE107/((IF(K107="",K108,K107)/(IF(Q107="",Q108,Q107)*2)))</f>
        <v>#VALUE!</v>
      </c>
      <c r="AI107" s="279" t="e">
        <f>AH107/2</f>
        <v>#VALUE!</v>
      </c>
      <c r="AJ107" s="279" t="e">
        <f>AI107-AG107</f>
        <v>#VALUE!</v>
      </c>
      <c r="AK107" s="280" t="e">
        <f>AJ107*IF(F107="Use Default",G107,G108)</f>
        <v>#VALUE!</v>
      </c>
      <c r="AL107" s="279" t="e">
        <f>AA107*IF(K107="",K108,K107)/((IF(K107="",K108,K107)/(IF(Q107="",Q108,Q107)*2)))</f>
        <v>#DIV/0!</v>
      </c>
      <c r="AM107" s="278" t="e">
        <f>AL107/2</f>
        <v>#DIV/0!</v>
      </c>
      <c r="AN107" s="279" t="e">
        <f>AE107*IF(K107="",K108,K107)/((IF(K107="",K108,K107)/(IF(Q107="",Q108,Q107)*2)))</f>
        <v>#VALUE!</v>
      </c>
      <c r="AO107" s="278" t="e">
        <f>AN107/2</f>
        <v>#VALUE!</v>
      </c>
      <c r="AP107" s="278" t="e">
        <f>AO107-AM107</f>
        <v>#VALUE!</v>
      </c>
      <c r="AQ107" s="280" t="e">
        <f>AP107*IF(H107="Use Default",I107,I108)</f>
        <v>#VALUE!</v>
      </c>
      <c r="AR107" s="280" t="e">
        <f>AQ107+AK107</f>
        <v>#VALUE!</v>
      </c>
      <c r="AS107" s="281" t="e">
        <f>(AE107-AA107)/AA107</f>
        <v>#VALUE!</v>
      </c>
      <c r="AT107" s="281" t="e">
        <f>AS107*U107</f>
        <v>#VALUE!</v>
      </c>
      <c r="AU107" s="282" t="e">
        <f>AC107*IF(Q107="",Q108,Q107)*2</f>
        <v>#VALUE!</v>
      </c>
      <c r="AV107" s="278" t="e">
        <f>AU107/2</f>
        <v>#VALUE!</v>
      </c>
      <c r="AW107" s="282" t="e">
        <f>AV107*IF(T107="",T108,T107)</f>
        <v>#VALUE!</v>
      </c>
      <c r="AX107" s="279" t="e">
        <f>AW107*AT107</f>
        <v>#VALUE!</v>
      </c>
      <c r="AY107" s="280" t="e">
        <f>AX107*R107</f>
        <v>#VALUE!</v>
      </c>
      <c r="AZ107" s="280" t="e">
        <f>AX107*'AC model'!$D$18</f>
        <v>#VALUE!</v>
      </c>
      <c r="BA107" s="280" t="e">
        <f>AR107-AY107+AZ107</f>
        <v>#VALUE!</v>
      </c>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row>
    <row r="108" spans="1:100" s="231" customFormat="1" ht="15.75">
      <c r="A108" s="271"/>
      <c r="B108" s="267"/>
      <c r="C108" s="222"/>
      <c r="D108" s="222"/>
      <c r="E108" s="222"/>
      <c r="F108" s="224">
        <f>IF(F107="Use Local Value","Enter Local Value","")</f>
      </c>
      <c r="G108" s="763"/>
      <c r="H108" s="224">
        <f>IF(H107="Use Local Value","Enter Local Value","")</f>
      </c>
      <c r="I108" s="763"/>
      <c r="J108" s="224">
        <f>IF(J107="Use Local Value","Enter Local Value","")</f>
      </c>
      <c r="K108" s="225"/>
      <c r="L108" s="224">
        <f>IF(L107="Use Local Value","Enter Local Value","")</f>
      </c>
      <c r="M108" s="226"/>
      <c r="N108" s="224">
        <f>IF(N107="Use Local Value","Enter Local Value","")</f>
      </c>
      <c r="O108" s="226"/>
      <c r="P108" s="224">
        <f>IF(P107="Use Local Value","Enter Local Value","")</f>
      </c>
      <c r="Q108" s="226"/>
      <c r="R108" s="222"/>
      <c r="S108" s="224">
        <f>IF(S107="Use Local Value","Enter Local Value","")</f>
      </c>
      <c r="T108" s="304"/>
      <c r="U108" s="222"/>
      <c r="V108" s="222"/>
      <c r="W108" s="245"/>
      <c r="X108" s="245"/>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7"/>
      <c r="BH108" s="247"/>
      <c r="BI108" s="246"/>
      <c r="BJ108" s="246"/>
      <c r="BK108" s="246"/>
      <c r="BL108" s="246"/>
      <c r="BM108" s="246"/>
      <c r="BN108" s="246"/>
      <c r="BO108" s="246"/>
      <c r="BP108" s="246"/>
      <c r="BQ108" s="246"/>
      <c r="BR108" s="246"/>
      <c r="BS108" s="246"/>
      <c r="BT108" s="246"/>
      <c r="BU108" s="246"/>
      <c r="BV108" s="246"/>
      <c r="BW108" s="246"/>
      <c r="BX108" s="246"/>
      <c r="BY108" s="246"/>
      <c r="BZ108" s="246"/>
      <c r="CA108" s="246"/>
      <c r="CB108" s="246"/>
      <c r="CC108" s="246"/>
      <c r="CD108" s="246"/>
      <c r="CE108" s="246"/>
      <c r="CF108" s="246"/>
      <c r="CG108" s="246"/>
      <c r="CH108" s="246"/>
      <c r="CI108" s="246"/>
      <c r="CJ108" s="246"/>
      <c r="CK108" s="246"/>
      <c r="CL108" s="246"/>
      <c r="CM108" s="246"/>
      <c r="CN108" s="246"/>
      <c r="CO108" s="246"/>
      <c r="CP108" s="246"/>
      <c r="CQ108" s="246"/>
      <c r="CR108" s="246"/>
      <c r="CS108" s="246"/>
      <c r="CT108" s="246"/>
      <c r="CU108" s="246"/>
      <c r="CV108" s="246"/>
    </row>
    <row r="109" spans="1:100" s="248" customFormat="1" ht="17.25" customHeight="1" thickBot="1">
      <c r="A109" s="272"/>
      <c r="B109" s="268"/>
      <c r="C109" s="249"/>
      <c r="D109" s="249"/>
      <c r="E109" s="249"/>
      <c r="F109" s="249"/>
      <c r="G109" s="249"/>
      <c r="H109" s="249"/>
      <c r="I109" s="249"/>
      <c r="J109" s="250"/>
      <c r="K109" s="251"/>
      <c r="L109" s="250"/>
      <c r="M109" s="252"/>
      <c r="N109" s="250"/>
      <c r="O109" s="252"/>
      <c r="P109" s="250"/>
      <c r="Q109" s="252"/>
      <c r="R109" s="249"/>
      <c r="S109" s="250"/>
      <c r="T109" s="305"/>
      <c r="U109" s="249"/>
      <c r="V109" s="249"/>
      <c r="W109" s="249"/>
      <c r="X109" s="276"/>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c r="BB109" s="283"/>
      <c r="BC109" s="283"/>
      <c r="BD109" s="283"/>
      <c r="BE109" s="283"/>
      <c r="BF109" s="283"/>
      <c r="BG109" s="284"/>
      <c r="BH109" s="284"/>
      <c r="BI109" s="283"/>
      <c r="BJ109" s="283"/>
      <c r="BK109" s="283"/>
      <c r="BL109" s="283"/>
      <c r="BM109" s="283"/>
      <c r="BN109" s="283"/>
      <c r="BO109" s="283"/>
      <c r="BP109" s="283"/>
      <c r="BQ109" s="283"/>
      <c r="BR109" s="283"/>
      <c r="BS109" s="283"/>
      <c r="BT109" s="283"/>
      <c r="BU109" s="283"/>
      <c r="BV109" s="283"/>
      <c r="BW109" s="283"/>
      <c r="BX109" s="283"/>
      <c r="BY109" s="283"/>
      <c r="BZ109" s="283"/>
      <c r="CA109" s="283"/>
      <c r="CB109" s="283"/>
      <c r="CC109" s="283"/>
      <c r="CD109" s="283"/>
      <c r="CE109" s="283"/>
      <c r="CF109" s="283"/>
      <c r="CG109" s="283"/>
      <c r="CH109" s="283"/>
      <c r="CI109" s="283"/>
      <c r="CJ109" s="283"/>
      <c r="CK109" s="283"/>
      <c r="CL109" s="283"/>
      <c r="CM109" s="283"/>
      <c r="CN109" s="283"/>
      <c r="CO109" s="283"/>
      <c r="CP109" s="283"/>
      <c r="CQ109" s="283"/>
      <c r="CR109" s="283"/>
      <c r="CS109" s="283"/>
      <c r="CT109" s="283"/>
      <c r="CU109" s="283"/>
      <c r="CV109" s="283"/>
    </row>
    <row r="110" spans="1:100" s="253" customFormat="1" ht="15.75">
      <c r="A110" s="270" t="s">
        <v>30</v>
      </c>
      <c r="B110" s="266" t="s">
        <v>380</v>
      </c>
      <c r="C110" s="802">
        <f>IF(A110="No","",1-'RF model'!$C$14)</f>
      </c>
      <c r="D110" s="254"/>
      <c r="E110" s="255">
        <f>IF(A110="No","",0.6)</f>
      </c>
      <c r="F110" s="762" t="s">
        <v>17</v>
      </c>
      <c r="G110" s="256">
        <f>IF(A110="No","",IF(F110="Use Default",13.3*(VLOOKUP('Start Page'!$G$4,'RF Workings'!$E$3:$G$13,2)/'RF Workings'!$F$7),""))</f>
      </c>
      <c r="H110" s="762" t="s">
        <v>17</v>
      </c>
      <c r="I110" s="256">
        <f>IF(A110="No","",IF(H110="Use Default",0.7*(VLOOKUP('Start Page'!$G$4,'RF Workings'!$E$3:$G$13,2)/'RF Workings'!$F$7),""))</f>
      </c>
      <c r="J110" s="257" t="s">
        <v>17</v>
      </c>
      <c r="K110" s="801">
        <f>IF(A110="No","",IF(J110="Use Default",IF($F$1="Non-PTE",$AB$3,$AA$3),""))</f>
      </c>
      <c r="L110" s="258" t="s">
        <v>17</v>
      </c>
      <c r="M110" s="259">
        <f>IF(A110="No","",IF(L110="Use Default",IF($F$1="Non-PTE",$AB$4,$AA$4),""))</f>
      </c>
      <c r="N110" s="258" t="s">
        <v>17</v>
      </c>
      <c r="O110" s="800">
        <f>IF(A110="No","",IF(N110="Use Default",IF($F$1="Non-PTE",$AB$5,$AA$5),""))</f>
      </c>
      <c r="P110" s="258" t="s">
        <v>17</v>
      </c>
      <c r="Q110" s="801">
        <f>IF(A110="No","",(IF(P110="Use Default",IF($F$1="Non-PTE",$AB$6,$AA$6),"")))</f>
      </c>
      <c r="R110" s="260"/>
      <c r="S110" s="258" t="s">
        <v>17</v>
      </c>
      <c r="T110" s="303">
        <f>IF(A110="No","",IF(S110="Use Default",IF('MCC Model '!$F$1="Non-PTE",$AB$7,$AA$7),""))</f>
      </c>
      <c r="U110" s="255">
        <f>IF(A110="No","",0.66)</f>
      </c>
      <c r="V110" s="433">
        <f>IF(A110="Yes",(IF(BA110&lt;0,0,BA110)),"")</f>
      </c>
      <c r="W110" s="434">
        <f>IF(A110="Yes",V110*C110*D110,"")</f>
      </c>
      <c r="X110" s="275"/>
      <c r="Y110" s="278"/>
      <c r="Z110" s="278"/>
      <c r="AA110" s="278">
        <f>IF(F100="Non-PTE",AB107,AA107)</f>
        <v>6</v>
      </c>
      <c r="AB110" s="279" t="e">
        <f>IF(AND(N110="Use Default",P110="Use Default"),Q110/O110,IF(AND(N110="Use Local Value",P110="Use Default"),Q110/O111,IF(AND(N110="Use Default",P110="Use Local Value"),Q111/O110,IF(AND(N110="Use Local Value",P110="Use Local Value"),Q111/O111))))*IF($M110="",$M111,$M110)/IF($Q110="",Q111,$Q110)</f>
        <v>#VALUE!</v>
      </c>
      <c r="AC110" s="279" t="e">
        <f>AA110*AB110</f>
        <v>#VALUE!</v>
      </c>
      <c r="AD110" s="279" t="e">
        <f>1/IF(Q110="",Q111,Q110)</f>
        <v>#DIV/0!</v>
      </c>
      <c r="AE110" s="279" t="e">
        <f>AA110*((AC110+AD110)/AC110)^E110</f>
        <v>#VALUE!</v>
      </c>
      <c r="AF110" s="279" t="e">
        <f>AA110/((IF(K110="",K111,K110)/(IF(Q110="",Q111,Q110)*2)))</f>
        <v>#DIV/0!</v>
      </c>
      <c r="AG110" s="279" t="e">
        <f>AF110/2</f>
        <v>#DIV/0!</v>
      </c>
      <c r="AH110" s="279" t="e">
        <f>AE110/((IF(K110="",K111,K110)/(IF(Q110="",Q111,Q110)*2)))</f>
        <v>#VALUE!</v>
      </c>
      <c r="AI110" s="279" t="e">
        <f>AH110/2</f>
        <v>#VALUE!</v>
      </c>
      <c r="AJ110" s="279" t="e">
        <f>AI110-AG110</f>
        <v>#VALUE!</v>
      </c>
      <c r="AK110" s="280" t="e">
        <f>AJ110*IF(F110="Use Default",G110,G111)</f>
        <v>#VALUE!</v>
      </c>
      <c r="AL110" s="279" t="e">
        <f>AA110*IF(K110="",K111,K110)/((IF(K110="",K111,K110)/(IF(Q110="",Q111,Q110)*2)))</f>
        <v>#DIV/0!</v>
      </c>
      <c r="AM110" s="278" t="e">
        <f>AL110/2</f>
        <v>#DIV/0!</v>
      </c>
      <c r="AN110" s="279" t="e">
        <f>AE110*IF(K110="",K111,K110)/((IF(K110="",K111,K110)/(IF(Q110="",Q111,Q110)*2)))</f>
        <v>#VALUE!</v>
      </c>
      <c r="AO110" s="278" t="e">
        <f>AN110/2</f>
        <v>#VALUE!</v>
      </c>
      <c r="AP110" s="278" t="e">
        <f>AO110-AM110</f>
        <v>#VALUE!</v>
      </c>
      <c r="AQ110" s="280" t="e">
        <f>AP110*IF(H110="Use Default",I110,I111)</f>
        <v>#VALUE!</v>
      </c>
      <c r="AR110" s="280" t="e">
        <f>AQ110+AK110</f>
        <v>#VALUE!</v>
      </c>
      <c r="AS110" s="281" t="e">
        <f>(AE110-AA110)/AA110</f>
        <v>#VALUE!</v>
      </c>
      <c r="AT110" s="281" t="e">
        <f>AS110*U110</f>
        <v>#VALUE!</v>
      </c>
      <c r="AU110" s="282" t="e">
        <f>AC110*IF(Q110="",Q111,Q110)*2</f>
        <v>#VALUE!</v>
      </c>
      <c r="AV110" s="278" t="e">
        <f>AU110/2</f>
        <v>#VALUE!</v>
      </c>
      <c r="AW110" s="282" t="e">
        <f>AV110*IF(T110="",T111,T110)</f>
        <v>#VALUE!</v>
      </c>
      <c r="AX110" s="279" t="e">
        <f>AW110*AT110</f>
        <v>#VALUE!</v>
      </c>
      <c r="AY110" s="280" t="e">
        <f>AX110*R110</f>
        <v>#VALUE!</v>
      </c>
      <c r="AZ110" s="280" t="e">
        <f>AX110*'AC model'!$D$18</f>
        <v>#VALUE!</v>
      </c>
      <c r="BA110" s="280" t="e">
        <f>AR110-AY110+AZ110</f>
        <v>#VALUE!</v>
      </c>
      <c r="BB110" s="278"/>
      <c r="BC110" s="278"/>
      <c r="BD110" s="278"/>
      <c r="BE110" s="278"/>
      <c r="BF110" s="278"/>
      <c r="BG110" s="278"/>
      <c r="BH110" s="278"/>
      <c r="BI110" s="278"/>
      <c r="BJ110" s="278"/>
      <c r="BK110" s="278"/>
      <c r="BL110" s="278"/>
      <c r="BM110" s="278"/>
      <c r="BN110" s="278"/>
      <c r="BO110" s="278"/>
      <c r="BP110" s="278"/>
      <c r="BQ110" s="278"/>
      <c r="BR110" s="278"/>
      <c r="BS110" s="278"/>
      <c r="BT110" s="278"/>
      <c r="BU110" s="278"/>
      <c r="BV110" s="278"/>
      <c r="BW110" s="278"/>
      <c r="BX110" s="278"/>
      <c r="BY110" s="278"/>
      <c r="BZ110" s="278"/>
      <c r="CA110" s="278"/>
      <c r="CB110" s="278"/>
      <c r="CC110" s="278"/>
      <c r="CD110" s="278"/>
      <c r="CE110" s="278"/>
      <c r="CF110" s="278"/>
      <c r="CG110" s="278"/>
      <c r="CH110" s="278"/>
      <c r="CI110" s="278"/>
      <c r="CJ110" s="278"/>
      <c r="CK110" s="278"/>
      <c r="CL110" s="278"/>
      <c r="CM110" s="278"/>
      <c r="CN110" s="278"/>
      <c r="CO110" s="278"/>
      <c r="CP110" s="278"/>
      <c r="CQ110" s="278"/>
      <c r="CR110" s="278"/>
      <c r="CS110" s="278"/>
      <c r="CT110" s="278"/>
      <c r="CU110" s="278"/>
      <c r="CV110" s="278"/>
    </row>
    <row r="111" spans="1:100" s="231" customFormat="1" ht="15.75">
      <c r="A111" s="271"/>
      <c r="B111" s="267"/>
      <c r="C111" s="222"/>
      <c r="D111" s="222"/>
      <c r="E111" s="222"/>
      <c r="F111" s="224">
        <f>IF(F110="Use Local Value","Enter Local Value","")</f>
      </c>
      <c r="G111" s="763"/>
      <c r="H111" s="224">
        <f>IF(H110="Use Local Value","Enter Local Value","")</f>
      </c>
      <c r="I111" s="763"/>
      <c r="J111" s="224">
        <f>IF(J110="Use Local Value","Enter Local Value","")</f>
      </c>
      <c r="K111" s="225"/>
      <c r="L111" s="224">
        <f>IF(L110="Use Local Value","Enter Local Value","")</f>
      </c>
      <c r="M111" s="226"/>
      <c r="N111" s="224">
        <f>IF(N110="Use Local Value","Enter Local Value","")</f>
      </c>
      <c r="O111" s="226"/>
      <c r="P111" s="224">
        <f>IF(P110="Use Local Value","Enter Local Value","")</f>
      </c>
      <c r="Q111" s="226"/>
      <c r="R111" s="222"/>
      <c r="S111" s="224">
        <f>IF(S110="Use Local Value","Enter Local Value","")</f>
      </c>
      <c r="T111" s="304"/>
      <c r="U111" s="222"/>
      <c r="V111" s="222"/>
      <c r="W111" s="245"/>
      <c r="X111" s="245"/>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7"/>
      <c r="BH111" s="247"/>
      <c r="BI111" s="246"/>
      <c r="BJ111" s="246"/>
      <c r="BK111" s="246"/>
      <c r="BL111" s="246"/>
      <c r="BM111" s="246"/>
      <c r="BN111" s="246"/>
      <c r="BO111" s="246"/>
      <c r="BP111" s="246"/>
      <c r="BQ111" s="246"/>
      <c r="BR111" s="246"/>
      <c r="BS111" s="246"/>
      <c r="BT111" s="246"/>
      <c r="BU111" s="246"/>
      <c r="BV111" s="246"/>
      <c r="BW111" s="246"/>
      <c r="BX111" s="246"/>
      <c r="BY111" s="246"/>
      <c r="BZ111" s="246"/>
      <c r="CA111" s="246"/>
      <c r="CB111" s="246"/>
      <c r="CC111" s="246"/>
      <c r="CD111" s="246"/>
      <c r="CE111" s="246"/>
      <c r="CF111" s="246"/>
      <c r="CG111" s="246"/>
      <c r="CH111" s="246"/>
      <c r="CI111" s="246"/>
      <c r="CJ111" s="246"/>
      <c r="CK111" s="246"/>
      <c r="CL111" s="246"/>
      <c r="CM111" s="246"/>
      <c r="CN111" s="246"/>
      <c r="CO111" s="246"/>
      <c r="CP111" s="246"/>
      <c r="CQ111" s="246"/>
      <c r="CR111" s="246"/>
      <c r="CS111" s="246"/>
      <c r="CT111" s="246"/>
      <c r="CU111" s="246"/>
      <c r="CV111" s="246"/>
    </row>
    <row r="112" spans="1:100" s="248" customFormat="1" ht="17.25" customHeight="1" thickBot="1">
      <c r="A112" s="272"/>
      <c r="B112" s="268"/>
      <c r="C112" s="249"/>
      <c r="D112" s="249"/>
      <c r="E112" s="249"/>
      <c r="F112" s="249"/>
      <c r="G112" s="249"/>
      <c r="H112" s="249"/>
      <c r="I112" s="249"/>
      <c r="J112" s="250"/>
      <c r="K112" s="251"/>
      <c r="L112" s="250"/>
      <c r="M112" s="252"/>
      <c r="N112" s="250"/>
      <c r="O112" s="252"/>
      <c r="P112" s="250"/>
      <c r="Q112" s="252"/>
      <c r="R112" s="249"/>
      <c r="S112" s="250"/>
      <c r="T112" s="305"/>
      <c r="U112" s="249"/>
      <c r="V112" s="249"/>
      <c r="W112" s="249"/>
      <c r="X112" s="276"/>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c r="BB112" s="283"/>
      <c r="BC112" s="283"/>
      <c r="BD112" s="283"/>
      <c r="BE112" s="283"/>
      <c r="BF112" s="283"/>
      <c r="BG112" s="284"/>
      <c r="BH112" s="284"/>
      <c r="BI112" s="283"/>
      <c r="BJ112" s="283"/>
      <c r="BK112" s="283"/>
      <c r="BL112" s="283"/>
      <c r="BM112" s="283"/>
      <c r="BN112" s="283"/>
      <c r="BO112" s="283"/>
      <c r="BP112" s="283"/>
      <c r="BQ112" s="283"/>
      <c r="BR112" s="283"/>
      <c r="BS112" s="283"/>
      <c r="BT112" s="283"/>
      <c r="BU112" s="283"/>
      <c r="BV112" s="283"/>
      <c r="BW112" s="283"/>
      <c r="BX112" s="283"/>
      <c r="BY112" s="283"/>
      <c r="BZ112" s="283"/>
      <c r="CA112" s="283"/>
      <c r="CB112" s="283"/>
      <c r="CC112" s="283"/>
      <c r="CD112" s="283"/>
      <c r="CE112" s="283"/>
      <c r="CF112" s="283"/>
      <c r="CG112" s="283"/>
      <c r="CH112" s="283"/>
      <c r="CI112" s="283"/>
      <c r="CJ112" s="283"/>
      <c r="CK112" s="283"/>
      <c r="CL112" s="283"/>
      <c r="CM112" s="283"/>
      <c r="CN112" s="283"/>
      <c r="CO112" s="283"/>
      <c r="CP112" s="283"/>
      <c r="CQ112" s="283"/>
      <c r="CR112" s="283"/>
      <c r="CS112" s="283"/>
      <c r="CT112" s="283"/>
      <c r="CU112" s="283"/>
      <c r="CV112" s="283"/>
    </row>
    <row r="113" spans="1:100" s="253" customFormat="1" ht="15.75">
      <c r="A113" s="270" t="s">
        <v>30</v>
      </c>
      <c r="B113" s="266" t="s">
        <v>380</v>
      </c>
      <c r="C113" s="802">
        <f>IF(A113="No","",1-'RF model'!$C$14)</f>
      </c>
      <c r="D113" s="254"/>
      <c r="E113" s="255">
        <f>IF(A113="No","",0.6)</f>
      </c>
      <c r="F113" s="762" t="s">
        <v>17</v>
      </c>
      <c r="G113" s="256">
        <f>IF(A113="No","",IF(F113="Use Default",13.3*(VLOOKUP('Start Page'!$G$4,'RF Workings'!$E$3:$G$13,2)/'RF Workings'!$F$7),""))</f>
      </c>
      <c r="H113" s="762" t="s">
        <v>17</v>
      </c>
      <c r="I113" s="256">
        <f>IF(A113="No","",IF(H113="Use Default",0.7*(VLOOKUP('Start Page'!$G$4,'RF Workings'!$E$3:$G$13,2)/'RF Workings'!$F$7),""))</f>
      </c>
      <c r="J113" s="257" t="s">
        <v>17</v>
      </c>
      <c r="K113" s="801">
        <f>IF(A113="No","",IF(J113="Use Default",IF($F$1="Non-PTE",$AB$3,$AA$3),""))</f>
      </c>
      <c r="L113" s="258" t="s">
        <v>17</v>
      </c>
      <c r="M113" s="259">
        <f>IF(A113="No","",IF(L113="Use Default",IF($F$1="Non-PTE",$AB$4,$AA$4),""))</f>
      </c>
      <c r="N113" s="258" t="s">
        <v>17</v>
      </c>
      <c r="O113" s="800">
        <f>IF(A113="No","",IF(N113="Use Default",IF($F$1="Non-PTE",$AB$5,$AA$5),""))</f>
      </c>
      <c r="P113" s="258" t="s">
        <v>17</v>
      </c>
      <c r="Q113" s="801">
        <f>IF(A113="No","",(IF(P113="Use Default",IF($F$1="Non-PTE",$AB$6,$AA$6),"")))</f>
      </c>
      <c r="R113" s="260"/>
      <c r="S113" s="258" t="s">
        <v>17</v>
      </c>
      <c r="T113" s="303">
        <f>IF(A113="No","",IF(S113="Use Default",IF('MCC Model '!$F$1="Non-PTE",$AB$7,$AA$7),""))</f>
      </c>
      <c r="U113" s="255">
        <f>IF(A113="No","",0.66)</f>
      </c>
      <c r="V113" s="433">
        <f>IF(A113="Yes",(IF(BA113&lt;0,0,BA113)),"")</f>
      </c>
      <c r="W113" s="434">
        <f>IF(A113="Yes",V113*C113*D113,"")</f>
      </c>
      <c r="X113" s="275"/>
      <c r="Y113" s="278"/>
      <c r="Z113" s="278"/>
      <c r="AA113" s="278">
        <f>IF(F103="Non-PTE",AB110,AA110)</f>
        <v>6</v>
      </c>
      <c r="AB113" s="279" t="e">
        <f>IF(AND(N113="Use Default",P113="Use Default"),Q113/O113,IF(AND(N113="Use Local Value",P113="Use Default"),Q113/O114,IF(AND(N113="Use Default",P113="Use Local Value"),Q114/O113,IF(AND(N113="Use Local Value",P113="Use Local Value"),Q114/O114))))*IF($M113="",$M114,$M113)/IF($Q113="",Q114,$Q113)</f>
        <v>#VALUE!</v>
      </c>
      <c r="AC113" s="279" t="e">
        <f>AA113*AB113</f>
        <v>#VALUE!</v>
      </c>
      <c r="AD113" s="279" t="e">
        <f>1/IF(Q113="",Q114,Q113)</f>
        <v>#DIV/0!</v>
      </c>
      <c r="AE113" s="279" t="e">
        <f>AA113*((AC113+AD113)/AC113)^E113</f>
        <v>#VALUE!</v>
      </c>
      <c r="AF113" s="279" t="e">
        <f>AA113/((IF(K113="",K114,K113)/(IF(Q113="",Q114,Q113)*2)))</f>
        <v>#DIV/0!</v>
      </c>
      <c r="AG113" s="279" t="e">
        <f>AF113/2</f>
        <v>#DIV/0!</v>
      </c>
      <c r="AH113" s="279" t="e">
        <f>AE113/((IF(K113="",K114,K113)/(IF(Q113="",Q114,Q113)*2)))</f>
        <v>#VALUE!</v>
      </c>
      <c r="AI113" s="279" t="e">
        <f>AH113/2</f>
        <v>#VALUE!</v>
      </c>
      <c r="AJ113" s="279" t="e">
        <f>AI113-AG113</f>
        <v>#VALUE!</v>
      </c>
      <c r="AK113" s="280" t="e">
        <f>AJ113*IF(F113="Use Default",G113,G114)</f>
        <v>#VALUE!</v>
      </c>
      <c r="AL113" s="279" t="e">
        <f>AA113*IF(K113="",K114,K113)/((IF(K113="",K114,K113)/(IF(Q113="",Q114,Q113)*2)))</f>
        <v>#DIV/0!</v>
      </c>
      <c r="AM113" s="278" t="e">
        <f>AL113/2</f>
        <v>#DIV/0!</v>
      </c>
      <c r="AN113" s="279" t="e">
        <f>AE113*IF(K113="",K114,K113)/((IF(K113="",K114,K113)/(IF(Q113="",Q114,Q113)*2)))</f>
        <v>#VALUE!</v>
      </c>
      <c r="AO113" s="278" t="e">
        <f>AN113/2</f>
        <v>#VALUE!</v>
      </c>
      <c r="AP113" s="278" t="e">
        <f>AO113-AM113</f>
        <v>#VALUE!</v>
      </c>
      <c r="AQ113" s="280" t="e">
        <f>AP113*IF(H113="Use Default",I113,I114)</f>
        <v>#VALUE!</v>
      </c>
      <c r="AR113" s="280" t="e">
        <f>AQ113+AK113</f>
        <v>#VALUE!</v>
      </c>
      <c r="AS113" s="281" t="e">
        <f>(AE113-AA113)/AA113</f>
        <v>#VALUE!</v>
      </c>
      <c r="AT113" s="281" t="e">
        <f>AS113*U113</f>
        <v>#VALUE!</v>
      </c>
      <c r="AU113" s="282" t="e">
        <f>AC113*IF(Q113="",Q114,Q113)*2</f>
        <v>#VALUE!</v>
      </c>
      <c r="AV113" s="278" t="e">
        <f>AU113/2</f>
        <v>#VALUE!</v>
      </c>
      <c r="AW113" s="282" t="e">
        <f>AV113*IF(T113="",T114,T113)</f>
        <v>#VALUE!</v>
      </c>
      <c r="AX113" s="279" t="e">
        <f>AW113*AT113</f>
        <v>#VALUE!</v>
      </c>
      <c r="AY113" s="280" t="e">
        <f>AX113*R113</f>
        <v>#VALUE!</v>
      </c>
      <c r="AZ113" s="280" t="e">
        <f>AX113*'AC model'!$D$18</f>
        <v>#VALUE!</v>
      </c>
      <c r="BA113" s="280" t="e">
        <f>AR113-AY113+AZ113</f>
        <v>#VALUE!</v>
      </c>
      <c r="BB113" s="278"/>
      <c r="BC113" s="278"/>
      <c r="BD113" s="278"/>
      <c r="BE113" s="278"/>
      <c r="BF113" s="278"/>
      <c r="BG113" s="278"/>
      <c r="BH113" s="278"/>
      <c r="BI113" s="278"/>
      <c r="BJ113" s="278"/>
      <c r="BK113" s="278"/>
      <c r="BL113" s="278"/>
      <c r="BM113" s="278"/>
      <c r="BN113" s="278"/>
      <c r="BO113" s="278"/>
      <c r="BP113" s="278"/>
      <c r="BQ113" s="278"/>
      <c r="BR113" s="278"/>
      <c r="BS113" s="278"/>
      <c r="BT113" s="278"/>
      <c r="BU113" s="278"/>
      <c r="BV113" s="278"/>
      <c r="BW113" s="278"/>
      <c r="BX113" s="278"/>
      <c r="BY113" s="278"/>
      <c r="BZ113" s="278"/>
      <c r="CA113" s="278"/>
      <c r="CB113" s="278"/>
      <c r="CC113" s="278"/>
      <c r="CD113" s="278"/>
      <c r="CE113" s="278"/>
      <c r="CF113" s="278"/>
      <c r="CG113" s="278"/>
      <c r="CH113" s="278"/>
      <c r="CI113" s="278"/>
      <c r="CJ113" s="278"/>
      <c r="CK113" s="278"/>
      <c r="CL113" s="278"/>
      <c r="CM113" s="278"/>
      <c r="CN113" s="278"/>
      <c r="CO113" s="278"/>
      <c r="CP113" s="278"/>
      <c r="CQ113" s="278"/>
      <c r="CR113" s="278"/>
      <c r="CS113" s="278"/>
      <c r="CT113" s="278"/>
      <c r="CU113" s="278"/>
      <c r="CV113" s="278"/>
    </row>
    <row r="114" spans="1:100" s="231" customFormat="1" ht="15.75">
      <c r="A114" s="271"/>
      <c r="B114" s="267"/>
      <c r="C114" s="222"/>
      <c r="D114" s="222"/>
      <c r="E114" s="222"/>
      <c r="F114" s="224">
        <f>IF(F113="Use Local Value","Enter Local Value","")</f>
      </c>
      <c r="G114" s="763"/>
      <c r="H114" s="224">
        <f>IF(H113="Use Local Value","Enter Local Value","")</f>
      </c>
      <c r="I114" s="763"/>
      <c r="J114" s="224">
        <f>IF(J113="Use Local Value","Enter Local Value","")</f>
      </c>
      <c r="K114" s="225"/>
      <c r="L114" s="224">
        <f>IF(L113="Use Local Value","Enter Local Value","")</f>
      </c>
      <c r="M114" s="226"/>
      <c r="N114" s="224">
        <f>IF(N113="Use Local Value","Enter Local Value","")</f>
      </c>
      <c r="O114" s="226"/>
      <c r="P114" s="224">
        <f>IF(P113="Use Local Value","Enter Local Value","")</f>
      </c>
      <c r="Q114" s="226"/>
      <c r="R114" s="222"/>
      <c r="S114" s="224">
        <f>IF(S113="Use Local Value","Enter Local Value","")</f>
      </c>
      <c r="T114" s="304"/>
      <c r="U114" s="222"/>
      <c r="V114" s="222"/>
      <c r="W114" s="245"/>
      <c r="X114" s="245"/>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7"/>
      <c r="BH114" s="247"/>
      <c r="BI114" s="246"/>
      <c r="BJ114" s="246"/>
      <c r="BK114" s="246"/>
      <c r="BL114" s="246"/>
      <c r="BM114" s="246"/>
      <c r="BN114" s="246"/>
      <c r="BO114" s="246"/>
      <c r="BP114" s="246"/>
      <c r="BQ114" s="246"/>
      <c r="BR114" s="246"/>
      <c r="BS114" s="246"/>
      <c r="BT114" s="246"/>
      <c r="BU114" s="246"/>
      <c r="BV114" s="246"/>
      <c r="BW114" s="246"/>
      <c r="BX114" s="246"/>
      <c r="BY114" s="246"/>
      <c r="BZ114" s="246"/>
      <c r="CA114" s="246"/>
      <c r="CB114" s="246"/>
      <c r="CC114" s="246"/>
      <c r="CD114" s="246"/>
      <c r="CE114" s="246"/>
      <c r="CF114" s="246"/>
      <c r="CG114" s="246"/>
      <c r="CH114" s="246"/>
      <c r="CI114" s="246"/>
      <c r="CJ114" s="246"/>
      <c r="CK114" s="246"/>
      <c r="CL114" s="246"/>
      <c r="CM114" s="246"/>
      <c r="CN114" s="246"/>
      <c r="CO114" s="246"/>
      <c r="CP114" s="246"/>
      <c r="CQ114" s="246"/>
      <c r="CR114" s="246"/>
      <c r="CS114" s="246"/>
      <c r="CT114" s="246"/>
      <c r="CU114" s="246"/>
      <c r="CV114" s="246"/>
    </row>
    <row r="115" spans="1:100" s="248" customFormat="1" ht="17.25" customHeight="1" thickBot="1">
      <c r="A115" s="272"/>
      <c r="B115" s="268"/>
      <c r="C115" s="249"/>
      <c r="D115" s="249"/>
      <c r="E115" s="249"/>
      <c r="F115" s="249"/>
      <c r="G115" s="249"/>
      <c r="H115" s="249"/>
      <c r="I115" s="249"/>
      <c r="J115" s="250"/>
      <c r="K115" s="251"/>
      <c r="L115" s="250"/>
      <c r="M115" s="252"/>
      <c r="N115" s="250"/>
      <c r="O115" s="252"/>
      <c r="P115" s="250"/>
      <c r="Q115" s="252"/>
      <c r="R115" s="249"/>
      <c r="S115" s="250"/>
      <c r="T115" s="305"/>
      <c r="U115" s="249"/>
      <c r="V115" s="249"/>
      <c r="W115" s="249"/>
      <c r="X115" s="276"/>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c r="AY115" s="283"/>
      <c r="AZ115" s="283"/>
      <c r="BA115" s="283"/>
      <c r="BB115" s="283"/>
      <c r="BC115" s="283"/>
      <c r="BD115" s="283"/>
      <c r="BE115" s="283"/>
      <c r="BF115" s="283"/>
      <c r="BG115" s="284"/>
      <c r="BH115" s="284"/>
      <c r="BI115" s="283"/>
      <c r="BJ115" s="283"/>
      <c r="BK115" s="283"/>
      <c r="BL115" s="283"/>
      <c r="BM115" s="283"/>
      <c r="BN115" s="283"/>
      <c r="BO115" s="283"/>
      <c r="BP115" s="283"/>
      <c r="BQ115" s="283"/>
      <c r="BR115" s="283"/>
      <c r="BS115" s="283"/>
      <c r="BT115" s="283"/>
      <c r="BU115" s="283"/>
      <c r="BV115" s="283"/>
      <c r="BW115" s="283"/>
      <c r="BX115" s="283"/>
      <c r="BY115" s="283"/>
      <c r="BZ115" s="283"/>
      <c r="CA115" s="283"/>
      <c r="CB115" s="283"/>
      <c r="CC115" s="283"/>
      <c r="CD115" s="283"/>
      <c r="CE115" s="283"/>
      <c r="CF115" s="283"/>
      <c r="CG115" s="283"/>
      <c r="CH115" s="283"/>
      <c r="CI115" s="283"/>
      <c r="CJ115" s="283"/>
      <c r="CK115" s="283"/>
      <c r="CL115" s="283"/>
      <c r="CM115" s="283"/>
      <c r="CN115" s="283"/>
      <c r="CO115" s="283"/>
      <c r="CP115" s="283"/>
      <c r="CQ115" s="283"/>
      <c r="CR115" s="283"/>
      <c r="CS115" s="283"/>
      <c r="CT115" s="283"/>
      <c r="CU115" s="283"/>
      <c r="CV115" s="283"/>
    </row>
    <row r="116" spans="1:100" s="253" customFormat="1" ht="15.75">
      <c r="A116" s="270" t="s">
        <v>30</v>
      </c>
      <c r="B116" s="266" t="s">
        <v>380</v>
      </c>
      <c r="C116" s="802">
        <f>IF(A116="No","",1-'RF model'!$C$14)</f>
      </c>
      <c r="D116" s="254"/>
      <c r="E116" s="255">
        <f>IF(A116="No","",0.6)</f>
      </c>
      <c r="F116" s="762" t="s">
        <v>17</v>
      </c>
      <c r="G116" s="256">
        <f>IF(A116="No","",IF(F116="Use Default",13.3*(VLOOKUP('Start Page'!$G$4,'RF Workings'!$E$3:$G$13,2)/'RF Workings'!$F$7),""))</f>
      </c>
      <c r="H116" s="762" t="s">
        <v>17</v>
      </c>
      <c r="I116" s="256">
        <f>IF(A116="No","",IF(H116="Use Default",0.7*(VLOOKUP('Start Page'!$G$4,'RF Workings'!$E$3:$G$13,2)/'RF Workings'!$F$7),""))</f>
      </c>
      <c r="J116" s="257" t="s">
        <v>17</v>
      </c>
      <c r="K116" s="801">
        <f>IF(A116="No","",IF(J116="Use Default",IF($F$1="Non-PTE",$AB$3,$AA$3),""))</f>
      </c>
      <c r="L116" s="258" t="s">
        <v>17</v>
      </c>
      <c r="M116" s="259">
        <f>IF(A116="No","",IF(L116="Use Default",IF($F$1="Non-PTE",$AB$4,$AA$4),""))</f>
      </c>
      <c r="N116" s="258" t="s">
        <v>17</v>
      </c>
      <c r="O116" s="800">
        <f>IF(A116="No","",IF(N116="Use Default",IF($F$1="Non-PTE",$AB$5,$AA$5),""))</f>
      </c>
      <c r="P116" s="258" t="s">
        <v>17</v>
      </c>
      <c r="Q116" s="801">
        <f>IF(A116="No","",(IF(P116="Use Default",IF($F$1="Non-PTE",$AB$6,$AA$6),"")))</f>
      </c>
      <c r="R116" s="260"/>
      <c r="S116" s="258" t="s">
        <v>17</v>
      </c>
      <c r="T116" s="303">
        <f>IF(A116="No","",IF(S116="Use Default",IF('MCC Model '!$F$1="Non-PTE",$AB$7,$AA$7),""))</f>
      </c>
      <c r="U116" s="255">
        <f>IF(A116="No","",0.66)</f>
      </c>
      <c r="V116" s="433">
        <f>IF(A116="Yes",(IF(BA116&lt;0,0,BA116)),"")</f>
      </c>
      <c r="W116" s="434">
        <f>IF(A116="Yes",V116*C116*D116,"")</f>
      </c>
      <c r="X116" s="275"/>
      <c r="Y116" s="278"/>
      <c r="Z116" s="278"/>
      <c r="AA116" s="278">
        <f>IF(F106="Non-PTE",AB113,AA113)</f>
        <v>6</v>
      </c>
      <c r="AB116" s="279" t="e">
        <f>IF(AND(N116="Use Default",P116="Use Default"),Q116/O116,IF(AND(N116="Use Local Value",P116="Use Default"),Q116/O117,IF(AND(N116="Use Default",P116="Use Local Value"),Q117/O116,IF(AND(N116="Use Local Value",P116="Use Local Value"),Q117/O117))))*IF($M116="",$M117,$M116)/IF($Q116="",Q117,$Q116)</f>
        <v>#VALUE!</v>
      </c>
      <c r="AC116" s="279" t="e">
        <f>AA116*AB116</f>
        <v>#VALUE!</v>
      </c>
      <c r="AD116" s="279" t="e">
        <f>1/IF(Q116="",Q117,Q116)</f>
        <v>#DIV/0!</v>
      </c>
      <c r="AE116" s="279" t="e">
        <f>AA116*((AC116+AD116)/AC116)^E116</f>
        <v>#VALUE!</v>
      </c>
      <c r="AF116" s="279" t="e">
        <f>AA116/((IF(K116="",K117,K116)/(IF(Q116="",Q117,Q116)*2)))</f>
        <v>#DIV/0!</v>
      </c>
      <c r="AG116" s="279" t="e">
        <f>AF116/2</f>
        <v>#DIV/0!</v>
      </c>
      <c r="AH116" s="279" t="e">
        <f>AE116/((IF(K116="",K117,K116)/(IF(Q116="",Q117,Q116)*2)))</f>
        <v>#VALUE!</v>
      </c>
      <c r="AI116" s="279" t="e">
        <f>AH116/2</f>
        <v>#VALUE!</v>
      </c>
      <c r="AJ116" s="279" t="e">
        <f>AI116-AG116</f>
        <v>#VALUE!</v>
      </c>
      <c r="AK116" s="280" t="e">
        <f>AJ116*IF(F116="Use Default",G116,G117)</f>
        <v>#VALUE!</v>
      </c>
      <c r="AL116" s="279" t="e">
        <f>AA116*IF(K116="",K117,K116)/((IF(K116="",K117,K116)/(IF(Q116="",Q117,Q116)*2)))</f>
        <v>#DIV/0!</v>
      </c>
      <c r="AM116" s="278" t="e">
        <f>AL116/2</f>
        <v>#DIV/0!</v>
      </c>
      <c r="AN116" s="279" t="e">
        <f>AE116*IF(K116="",K117,K116)/((IF(K116="",K117,K116)/(IF(Q116="",Q117,Q116)*2)))</f>
        <v>#VALUE!</v>
      </c>
      <c r="AO116" s="278" t="e">
        <f>AN116/2</f>
        <v>#VALUE!</v>
      </c>
      <c r="AP116" s="278" t="e">
        <f>AO116-AM116</f>
        <v>#VALUE!</v>
      </c>
      <c r="AQ116" s="280" t="e">
        <f>AP116*IF(H116="Use Default",I116,I117)</f>
        <v>#VALUE!</v>
      </c>
      <c r="AR116" s="280" t="e">
        <f>AQ116+AK116</f>
        <v>#VALUE!</v>
      </c>
      <c r="AS116" s="281" t="e">
        <f>(AE116-AA116)/AA116</f>
        <v>#VALUE!</v>
      </c>
      <c r="AT116" s="281" t="e">
        <f>AS116*U116</f>
        <v>#VALUE!</v>
      </c>
      <c r="AU116" s="282" t="e">
        <f>AC116*IF(Q116="",Q117,Q116)*2</f>
        <v>#VALUE!</v>
      </c>
      <c r="AV116" s="278" t="e">
        <f>AU116/2</f>
        <v>#VALUE!</v>
      </c>
      <c r="AW116" s="282" t="e">
        <f>AV116*IF(T116="",T117,T116)</f>
        <v>#VALUE!</v>
      </c>
      <c r="AX116" s="279" t="e">
        <f>AW116*AT116</f>
        <v>#VALUE!</v>
      </c>
      <c r="AY116" s="280" t="e">
        <f>AX116*R116</f>
        <v>#VALUE!</v>
      </c>
      <c r="AZ116" s="280" t="e">
        <f>AX116*'AC model'!$D$18</f>
        <v>#VALUE!</v>
      </c>
      <c r="BA116" s="280" t="e">
        <f>AR116-AY116+AZ116</f>
        <v>#VALUE!</v>
      </c>
      <c r="BB116" s="278"/>
      <c r="BC116" s="278"/>
      <c r="BD116" s="278"/>
      <c r="BE116" s="278"/>
      <c r="BF116" s="278"/>
      <c r="BG116" s="278"/>
      <c r="BH116" s="278"/>
      <c r="BI116" s="278"/>
      <c r="BJ116" s="278"/>
      <c r="BK116" s="278"/>
      <c r="BL116" s="278"/>
      <c r="BM116" s="278"/>
      <c r="BN116" s="278"/>
      <c r="BO116" s="278"/>
      <c r="BP116" s="278"/>
      <c r="BQ116" s="278"/>
      <c r="BR116" s="278"/>
      <c r="BS116" s="278"/>
      <c r="BT116" s="278"/>
      <c r="BU116" s="278"/>
      <c r="BV116" s="278"/>
      <c r="BW116" s="278"/>
      <c r="BX116" s="278"/>
      <c r="BY116" s="278"/>
      <c r="BZ116" s="278"/>
      <c r="CA116" s="278"/>
      <c r="CB116" s="278"/>
      <c r="CC116" s="278"/>
      <c r="CD116" s="278"/>
      <c r="CE116" s="278"/>
      <c r="CF116" s="278"/>
      <c r="CG116" s="278"/>
      <c r="CH116" s="278"/>
      <c r="CI116" s="278"/>
      <c r="CJ116" s="278"/>
      <c r="CK116" s="278"/>
      <c r="CL116" s="278"/>
      <c r="CM116" s="278"/>
      <c r="CN116" s="278"/>
      <c r="CO116" s="278"/>
      <c r="CP116" s="278"/>
      <c r="CQ116" s="278"/>
      <c r="CR116" s="278"/>
      <c r="CS116" s="278"/>
      <c r="CT116" s="278"/>
      <c r="CU116" s="278"/>
      <c r="CV116" s="278"/>
    </row>
    <row r="117" spans="1:100" s="231" customFormat="1" ht="15.75">
      <c r="A117" s="271"/>
      <c r="B117" s="267"/>
      <c r="C117" s="222"/>
      <c r="D117" s="222"/>
      <c r="E117" s="222"/>
      <c r="F117" s="224">
        <f>IF(F116="Use Local Value","Enter Local Value","")</f>
      </c>
      <c r="G117" s="763"/>
      <c r="H117" s="224">
        <f>IF(H116="Use Local Value","Enter Local Value","")</f>
      </c>
      <c r="I117" s="763"/>
      <c r="J117" s="224">
        <f>IF(J116="Use Local Value","Enter Local Value","")</f>
      </c>
      <c r="K117" s="225"/>
      <c r="L117" s="224">
        <f>IF(L116="Use Local Value","Enter Local Value","")</f>
      </c>
      <c r="M117" s="226"/>
      <c r="N117" s="224">
        <f>IF(N116="Use Local Value","Enter Local Value","")</f>
      </c>
      <c r="O117" s="226"/>
      <c r="P117" s="224">
        <f>IF(P116="Use Local Value","Enter Local Value","")</f>
      </c>
      <c r="Q117" s="226"/>
      <c r="R117" s="222"/>
      <c r="S117" s="224">
        <f>IF(S116="Use Local Value","Enter Local Value","")</f>
      </c>
      <c r="T117" s="304"/>
      <c r="U117" s="222"/>
      <c r="V117" s="222"/>
      <c r="W117" s="245"/>
      <c r="X117" s="245"/>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7"/>
      <c r="BH117" s="247"/>
      <c r="BI117" s="246"/>
      <c r="BJ117" s="246"/>
      <c r="BK117" s="246"/>
      <c r="BL117" s="246"/>
      <c r="BM117" s="246"/>
      <c r="BN117" s="246"/>
      <c r="BO117" s="246"/>
      <c r="BP117" s="246"/>
      <c r="BQ117" s="246"/>
      <c r="BR117" s="246"/>
      <c r="BS117" s="246"/>
      <c r="BT117" s="246"/>
      <c r="BU117" s="246"/>
      <c r="BV117" s="246"/>
      <c r="BW117" s="246"/>
      <c r="BX117" s="246"/>
      <c r="BY117" s="246"/>
      <c r="BZ117" s="246"/>
      <c r="CA117" s="246"/>
      <c r="CB117" s="246"/>
      <c r="CC117" s="246"/>
      <c r="CD117" s="246"/>
      <c r="CE117" s="246"/>
      <c r="CF117" s="246"/>
      <c r="CG117" s="246"/>
      <c r="CH117" s="246"/>
      <c r="CI117" s="246"/>
      <c r="CJ117" s="246"/>
      <c r="CK117" s="246"/>
      <c r="CL117" s="246"/>
      <c r="CM117" s="246"/>
      <c r="CN117" s="246"/>
      <c r="CO117" s="246"/>
      <c r="CP117" s="246"/>
      <c r="CQ117" s="246"/>
      <c r="CR117" s="246"/>
      <c r="CS117" s="246"/>
      <c r="CT117" s="246"/>
      <c r="CU117" s="246"/>
      <c r="CV117" s="246"/>
    </row>
    <row r="118" spans="1:100" s="248" customFormat="1" ht="17.25" customHeight="1" thickBot="1">
      <c r="A118" s="272"/>
      <c r="B118" s="268"/>
      <c r="C118" s="249"/>
      <c r="D118" s="249"/>
      <c r="E118" s="249"/>
      <c r="F118" s="249"/>
      <c r="G118" s="249"/>
      <c r="H118" s="249"/>
      <c r="I118" s="249"/>
      <c r="J118" s="250"/>
      <c r="K118" s="251"/>
      <c r="L118" s="250"/>
      <c r="M118" s="252"/>
      <c r="N118" s="250"/>
      <c r="O118" s="252"/>
      <c r="P118" s="250"/>
      <c r="Q118" s="252"/>
      <c r="R118" s="249"/>
      <c r="S118" s="250"/>
      <c r="T118" s="305"/>
      <c r="U118" s="249"/>
      <c r="V118" s="249"/>
      <c r="W118" s="249"/>
      <c r="X118" s="276"/>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283"/>
      <c r="BE118" s="283"/>
      <c r="BF118" s="283"/>
      <c r="BG118" s="284"/>
      <c r="BH118" s="284"/>
      <c r="BI118" s="283"/>
      <c r="BJ118" s="283"/>
      <c r="BK118" s="283"/>
      <c r="BL118" s="283"/>
      <c r="BM118" s="283"/>
      <c r="BN118" s="283"/>
      <c r="BO118" s="283"/>
      <c r="BP118" s="283"/>
      <c r="BQ118" s="283"/>
      <c r="BR118" s="283"/>
      <c r="BS118" s="283"/>
      <c r="BT118" s="283"/>
      <c r="BU118" s="283"/>
      <c r="BV118" s="283"/>
      <c r="BW118" s="283"/>
      <c r="BX118" s="283"/>
      <c r="BY118" s="283"/>
      <c r="BZ118" s="283"/>
      <c r="CA118" s="283"/>
      <c r="CB118" s="283"/>
      <c r="CC118" s="283"/>
      <c r="CD118" s="283"/>
      <c r="CE118" s="283"/>
      <c r="CF118" s="283"/>
      <c r="CG118" s="283"/>
      <c r="CH118" s="283"/>
      <c r="CI118" s="283"/>
      <c r="CJ118" s="283"/>
      <c r="CK118" s="283"/>
      <c r="CL118" s="283"/>
      <c r="CM118" s="283"/>
      <c r="CN118" s="283"/>
      <c r="CO118" s="283"/>
      <c r="CP118" s="283"/>
      <c r="CQ118" s="283"/>
      <c r="CR118" s="283"/>
      <c r="CS118" s="283"/>
      <c r="CT118" s="283"/>
      <c r="CU118" s="283"/>
      <c r="CV118" s="283"/>
    </row>
    <row r="119" spans="1:100" s="253" customFormat="1" ht="15.75">
      <c r="A119" s="270" t="s">
        <v>30</v>
      </c>
      <c r="B119" s="266" t="s">
        <v>380</v>
      </c>
      <c r="C119" s="802">
        <f>IF(A119="No","",1-'RF model'!$C$14)</f>
      </c>
      <c r="D119" s="254"/>
      <c r="E119" s="255">
        <f>IF(A119="No","",0.6)</f>
      </c>
      <c r="F119" s="762" t="s">
        <v>17</v>
      </c>
      <c r="G119" s="256">
        <f>IF(A119="No","",IF(F119="Use Default",13.3*(VLOOKUP('Start Page'!$G$4,'RF Workings'!$E$3:$G$13,2)/'RF Workings'!$F$7),""))</f>
      </c>
      <c r="H119" s="762" t="s">
        <v>17</v>
      </c>
      <c r="I119" s="256">
        <f>IF(A119="No","",IF(H119="Use Default",0.7*(VLOOKUP('Start Page'!$G$4,'RF Workings'!$E$3:$G$13,2)/'RF Workings'!$F$7),""))</f>
      </c>
      <c r="J119" s="257" t="s">
        <v>17</v>
      </c>
      <c r="K119" s="801">
        <f>IF(A119="No","",IF(J119="Use Default",IF($F$1="Non-PTE",$AB$3,$AA$3),""))</f>
      </c>
      <c r="L119" s="258" t="s">
        <v>17</v>
      </c>
      <c r="M119" s="259">
        <f>IF(A119="No","",IF(L119="Use Default",IF($F$1="Non-PTE",$AB$4,$AA$4),""))</f>
      </c>
      <c r="N119" s="258" t="s">
        <v>17</v>
      </c>
      <c r="O119" s="800">
        <f>IF(A119="No","",IF(N119="Use Default",IF($F$1="Non-PTE",$AB$5,$AA$5),""))</f>
      </c>
      <c r="P119" s="258" t="s">
        <v>17</v>
      </c>
      <c r="Q119" s="801">
        <f>IF(A119="No","",(IF(P119="Use Default",IF($F$1="Non-PTE",$AB$6,$AA$6),"")))</f>
      </c>
      <c r="R119" s="260"/>
      <c r="S119" s="258" t="s">
        <v>17</v>
      </c>
      <c r="T119" s="303">
        <f>IF(A119="No","",IF(S119="Use Default",IF('MCC Model '!$F$1="Non-PTE",$AB$7,$AA$7),""))</f>
      </c>
      <c r="U119" s="255">
        <f>IF(A119="No","",0.66)</f>
      </c>
      <c r="V119" s="433">
        <f>IF(A119="Yes",(IF(BA119&lt;0,0,BA119)),"")</f>
      </c>
      <c r="W119" s="434">
        <f>IF(A119="Yes",V119*C119*D119,"")</f>
      </c>
      <c r="X119" s="275"/>
      <c r="Y119" s="278"/>
      <c r="Z119" s="278"/>
      <c r="AA119" s="278">
        <f>IF(F109="Non-PTE",AB116,AA116)</f>
        <v>6</v>
      </c>
      <c r="AB119" s="279" t="e">
        <f>IF(AND(N119="Use Default",P119="Use Default"),Q119/O119,IF(AND(N119="Use Local Value",P119="Use Default"),Q119/O120,IF(AND(N119="Use Default",P119="Use Local Value"),Q120/O119,IF(AND(N119="Use Local Value",P119="Use Local Value"),Q120/O120))))*IF($M119="",$M120,$M119)/IF($Q119="",Q120,$Q119)</f>
        <v>#VALUE!</v>
      </c>
      <c r="AC119" s="279" t="e">
        <f>AA119*AB119</f>
        <v>#VALUE!</v>
      </c>
      <c r="AD119" s="279" t="e">
        <f>1/IF(Q119="",Q120,Q119)</f>
        <v>#DIV/0!</v>
      </c>
      <c r="AE119" s="279" t="e">
        <f>AA119*((AC119+AD119)/AC119)^E119</f>
        <v>#VALUE!</v>
      </c>
      <c r="AF119" s="279" t="e">
        <f>AA119/((IF(K119="",K120,K119)/(IF(Q119="",Q120,Q119)*2)))</f>
        <v>#DIV/0!</v>
      </c>
      <c r="AG119" s="279" t="e">
        <f>AF119/2</f>
        <v>#DIV/0!</v>
      </c>
      <c r="AH119" s="279" t="e">
        <f>AE119/((IF(K119="",K120,K119)/(IF(Q119="",Q120,Q119)*2)))</f>
        <v>#VALUE!</v>
      </c>
      <c r="AI119" s="279" t="e">
        <f>AH119/2</f>
        <v>#VALUE!</v>
      </c>
      <c r="AJ119" s="279" t="e">
        <f>AI119-AG119</f>
        <v>#VALUE!</v>
      </c>
      <c r="AK119" s="280" t="e">
        <f>AJ119*IF(F119="Use Default",G119,G120)</f>
        <v>#VALUE!</v>
      </c>
      <c r="AL119" s="279" t="e">
        <f>AA119*IF(K119="",K120,K119)/((IF(K119="",K120,K119)/(IF(Q119="",Q120,Q119)*2)))</f>
        <v>#DIV/0!</v>
      </c>
      <c r="AM119" s="278" t="e">
        <f>AL119/2</f>
        <v>#DIV/0!</v>
      </c>
      <c r="AN119" s="279" t="e">
        <f>AE119*IF(K119="",K120,K119)/((IF(K119="",K120,K119)/(IF(Q119="",Q120,Q119)*2)))</f>
        <v>#VALUE!</v>
      </c>
      <c r="AO119" s="278" t="e">
        <f>AN119/2</f>
        <v>#VALUE!</v>
      </c>
      <c r="AP119" s="278" t="e">
        <f>AO119-AM119</f>
        <v>#VALUE!</v>
      </c>
      <c r="AQ119" s="280" t="e">
        <f>AP119*IF(H119="Use Default",I119,I120)</f>
        <v>#VALUE!</v>
      </c>
      <c r="AR119" s="280" t="e">
        <f>AQ119+AK119</f>
        <v>#VALUE!</v>
      </c>
      <c r="AS119" s="281" t="e">
        <f>(AE119-AA119)/AA119</f>
        <v>#VALUE!</v>
      </c>
      <c r="AT119" s="281" t="e">
        <f>AS119*U119</f>
        <v>#VALUE!</v>
      </c>
      <c r="AU119" s="282" t="e">
        <f>AC119*IF(Q119="",Q120,Q119)*2</f>
        <v>#VALUE!</v>
      </c>
      <c r="AV119" s="278" t="e">
        <f>AU119/2</f>
        <v>#VALUE!</v>
      </c>
      <c r="AW119" s="282" t="e">
        <f>AV119*IF(T119="",T120,T119)</f>
        <v>#VALUE!</v>
      </c>
      <c r="AX119" s="279" t="e">
        <f>AW119*AT119</f>
        <v>#VALUE!</v>
      </c>
      <c r="AY119" s="280" t="e">
        <f>AX119*R119</f>
        <v>#VALUE!</v>
      </c>
      <c r="AZ119" s="280" t="e">
        <f>AX119*'AC model'!$D$18</f>
        <v>#VALUE!</v>
      </c>
      <c r="BA119" s="280" t="e">
        <f>AR119-AY119+AZ119</f>
        <v>#VALUE!</v>
      </c>
      <c r="BB119" s="278"/>
      <c r="BC119" s="278"/>
      <c r="BD119" s="278"/>
      <c r="BE119" s="278"/>
      <c r="BF119" s="278"/>
      <c r="BG119" s="278"/>
      <c r="BH119" s="278"/>
      <c r="BI119" s="278"/>
      <c r="BJ119" s="278"/>
      <c r="BK119" s="278"/>
      <c r="BL119" s="278"/>
      <c r="BM119" s="278"/>
      <c r="BN119" s="278"/>
      <c r="BO119" s="278"/>
      <c r="BP119" s="278"/>
      <c r="BQ119" s="278"/>
      <c r="BR119" s="278"/>
      <c r="BS119" s="278"/>
      <c r="BT119" s="278"/>
      <c r="BU119" s="278"/>
      <c r="BV119" s="278"/>
      <c r="BW119" s="278"/>
      <c r="BX119" s="278"/>
      <c r="BY119" s="278"/>
      <c r="BZ119" s="278"/>
      <c r="CA119" s="278"/>
      <c r="CB119" s="278"/>
      <c r="CC119" s="278"/>
      <c r="CD119" s="278"/>
      <c r="CE119" s="278"/>
      <c r="CF119" s="278"/>
      <c r="CG119" s="278"/>
      <c r="CH119" s="278"/>
      <c r="CI119" s="278"/>
      <c r="CJ119" s="278"/>
      <c r="CK119" s="278"/>
      <c r="CL119" s="278"/>
      <c r="CM119" s="278"/>
      <c r="CN119" s="278"/>
      <c r="CO119" s="278"/>
      <c r="CP119" s="278"/>
      <c r="CQ119" s="278"/>
      <c r="CR119" s="278"/>
      <c r="CS119" s="278"/>
      <c r="CT119" s="278"/>
      <c r="CU119" s="278"/>
      <c r="CV119" s="278"/>
    </row>
    <row r="120" spans="1:100" s="231" customFormat="1" ht="15.75">
      <c r="A120" s="271"/>
      <c r="B120" s="267"/>
      <c r="C120" s="222"/>
      <c r="D120" s="222"/>
      <c r="E120" s="222"/>
      <c r="F120" s="224">
        <f>IF(F119="Use Local Value","Enter Local Value","")</f>
      </c>
      <c r="G120" s="763"/>
      <c r="H120" s="224">
        <f>IF(H119="Use Local Value","Enter Local Value","")</f>
      </c>
      <c r="I120" s="763"/>
      <c r="J120" s="224">
        <f>IF(J119="Use Local Value","Enter Local Value","")</f>
      </c>
      <c r="K120" s="225"/>
      <c r="L120" s="224">
        <f>IF(L119="Use Local Value","Enter Local Value","")</f>
      </c>
      <c r="M120" s="226"/>
      <c r="N120" s="224">
        <f>IF(N119="Use Local Value","Enter Local Value","")</f>
      </c>
      <c r="O120" s="226"/>
      <c r="P120" s="224">
        <f>IF(P119="Use Local Value","Enter Local Value","")</f>
      </c>
      <c r="Q120" s="226"/>
      <c r="R120" s="222"/>
      <c r="S120" s="224">
        <f>IF(S119="Use Local Value","Enter Local Value","")</f>
      </c>
      <c r="T120" s="304"/>
      <c r="U120" s="222"/>
      <c r="V120" s="222"/>
      <c r="W120" s="245"/>
      <c r="X120" s="245"/>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7"/>
      <c r="BH120" s="247"/>
      <c r="BI120" s="246"/>
      <c r="BJ120" s="246"/>
      <c r="BK120" s="246"/>
      <c r="BL120" s="246"/>
      <c r="BM120" s="246"/>
      <c r="BN120" s="246"/>
      <c r="BO120" s="246"/>
      <c r="BP120" s="246"/>
      <c r="BQ120" s="246"/>
      <c r="BR120" s="246"/>
      <c r="BS120" s="246"/>
      <c r="BT120" s="246"/>
      <c r="BU120" s="246"/>
      <c r="BV120" s="246"/>
      <c r="BW120" s="246"/>
      <c r="BX120" s="246"/>
      <c r="BY120" s="246"/>
      <c r="BZ120" s="246"/>
      <c r="CA120" s="246"/>
      <c r="CB120" s="246"/>
      <c r="CC120" s="246"/>
      <c r="CD120" s="246"/>
      <c r="CE120" s="246"/>
      <c r="CF120" s="246"/>
      <c r="CG120" s="246"/>
      <c r="CH120" s="246"/>
      <c r="CI120" s="246"/>
      <c r="CJ120" s="246"/>
      <c r="CK120" s="246"/>
      <c r="CL120" s="246"/>
      <c r="CM120" s="246"/>
      <c r="CN120" s="246"/>
      <c r="CO120" s="246"/>
      <c r="CP120" s="246"/>
      <c r="CQ120" s="246"/>
      <c r="CR120" s="246"/>
      <c r="CS120" s="246"/>
      <c r="CT120" s="246"/>
      <c r="CU120" s="246"/>
      <c r="CV120" s="246"/>
    </row>
    <row r="121" spans="1:100" s="248" customFormat="1" ht="17.25" customHeight="1" thickBot="1">
      <c r="A121" s="272"/>
      <c r="B121" s="268"/>
      <c r="C121" s="249"/>
      <c r="D121" s="249"/>
      <c r="E121" s="249"/>
      <c r="F121" s="249"/>
      <c r="G121" s="249"/>
      <c r="H121" s="249"/>
      <c r="I121" s="249"/>
      <c r="J121" s="250"/>
      <c r="K121" s="251"/>
      <c r="L121" s="250"/>
      <c r="M121" s="252"/>
      <c r="N121" s="250"/>
      <c r="O121" s="252"/>
      <c r="P121" s="250"/>
      <c r="Q121" s="252"/>
      <c r="R121" s="249"/>
      <c r="S121" s="250"/>
      <c r="T121" s="305"/>
      <c r="U121" s="249"/>
      <c r="V121" s="249"/>
      <c r="W121" s="249"/>
      <c r="X121" s="276"/>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c r="BB121" s="283"/>
      <c r="BC121" s="283"/>
      <c r="BD121" s="283"/>
      <c r="BE121" s="283"/>
      <c r="BF121" s="283"/>
      <c r="BG121" s="284"/>
      <c r="BH121" s="284"/>
      <c r="BI121" s="283"/>
      <c r="BJ121" s="283"/>
      <c r="BK121" s="283"/>
      <c r="BL121" s="283"/>
      <c r="BM121" s="283"/>
      <c r="BN121" s="283"/>
      <c r="BO121" s="283"/>
      <c r="BP121" s="283"/>
      <c r="BQ121" s="283"/>
      <c r="BR121" s="283"/>
      <c r="BS121" s="283"/>
      <c r="BT121" s="283"/>
      <c r="BU121" s="283"/>
      <c r="BV121" s="283"/>
      <c r="BW121" s="283"/>
      <c r="BX121" s="283"/>
      <c r="BY121" s="283"/>
      <c r="BZ121" s="283"/>
      <c r="CA121" s="283"/>
      <c r="CB121" s="283"/>
      <c r="CC121" s="283"/>
      <c r="CD121" s="283"/>
      <c r="CE121" s="283"/>
      <c r="CF121" s="283"/>
      <c r="CG121" s="283"/>
      <c r="CH121" s="283"/>
      <c r="CI121" s="283"/>
      <c r="CJ121" s="283"/>
      <c r="CK121" s="283"/>
      <c r="CL121" s="283"/>
      <c r="CM121" s="283"/>
      <c r="CN121" s="283"/>
      <c r="CO121" s="283"/>
      <c r="CP121" s="283"/>
      <c r="CQ121" s="283"/>
      <c r="CR121" s="283"/>
      <c r="CS121" s="283"/>
      <c r="CT121" s="283"/>
      <c r="CU121" s="283"/>
      <c r="CV121" s="283"/>
    </row>
    <row r="122" spans="1:100" s="253" customFormat="1" ht="15.75">
      <c r="A122" s="270" t="s">
        <v>30</v>
      </c>
      <c r="B122" s="266" t="s">
        <v>380</v>
      </c>
      <c r="C122" s="802">
        <f>IF(A122="No","",1-'RF model'!$C$14)</f>
      </c>
      <c r="D122" s="254"/>
      <c r="E122" s="255">
        <f>IF(A122="No","",0.6)</f>
      </c>
      <c r="F122" s="762" t="s">
        <v>17</v>
      </c>
      <c r="G122" s="256">
        <f>IF(A122="No","",IF(F122="Use Default",13.3*(VLOOKUP('Start Page'!$G$4,'RF Workings'!$E$3:$G$13,2)/'RF Workings'!$F$7),""))</f>
      </c>
      <c r="H122" s="762" t="s">
        <v>17</v>
      </c>
      <c r="I122" s="256">
        <f>IF(A122="No","",IF(H122="Use Default",0.7*(VLOOKUP('Start Page'!$G$4,'RF Workings'!$E$3:$G$13,2)/'RF Workings'!$F$7),""))</f>
      </c>
      <c r="J122" s="257" t="s">
        <v>17</v>
      </c>
      <c r="K122" s="801">
        <f>IF(A122="No","",IF(J122="Use Default",IF($F$1="Non-PTE",$AB$3,$AA$3),""))</f>
      </c>
      <c r="L122" s="258" t="s">
        <v>17</v>
      </c>
      <c r="M122" s="259">
        <f>IF(A122="No","",IF(L122="Use Default",IF($F$1="Non-PTE",$AB$4,$AA$4),""))</f>
      </c>
      <c r="N122" s="258" t="s">
        <v>17</v>
      </c>
      <c r="O122" s="800">
        <f>IF(A122="No","",IF(N122="Use Default",IF($F$1="Non-PTE",$AB$5,$AA$5),""))</f>
      </c>
      <c r="P122" s="258" t="s">
        <v>17</v>
      </c>
      <c r="Q122" s="801">
        <f>IF(A122="No","",(IF(P122="Use Default",IF($F$1="Non-PTE",$AB$6,$AA$6),"")))</f>
      </c>
      <c r="R122" s="260"/>
      <c r="S122" s="258" t="s">
        <v>17</v>
      </c>
      <c r="T122" s="303">
        <f>IF(A122="No","",IF(S122="Use Default",IF('MCC Model '!$F$1="Non-PTE",$AB$7,$AA$7),""))</f>
      </c>
      <c r="U122" s="255">
        <f>IF(A122="No","",0.66)</f>
      </c>
      <c r="V122" s="433">
        <f>IF(A122="Yes",(IF(BA122&lt;0,0,BA122)),"")</f>
      </c>
      <c r="W122" s="434">
        <f>IF(A122="Yes",V122*C122*D122,"")</f>
      </c>
      <c r="X122" s="275"/>
      <c r="Y122" s="278"/>
      <c r="Z122" s="278"/>
      <c r="AA122" s="278">
        <f>IF(F112="Non-PTE",AB119,AA119)</f>
        <v>6</v>
      </c>
      <c r="AB122" s="279" t="e">
        <f>IF(AND(N122="Use Default",P122="Use Default"),Q122/O122,IF(AND(N122="Use Local Value",P122="Use Default"),Q122/O123,IF(AND(N122="Use Default",P122="Use Local Value"),Q123/O122,IF(AND(N122="Use Local Value",P122="Use Local Value"),Q123/O123))))*IF($M122="",$M123,$M122)/IF($Q122="",Q123,$Q122)</f>
        <v>#VALUE!</v>
      </c>
      <c r="AC122" s="279" t="e">
        <f>AA122*AB122</f>
        <v>#VALUE!</v>
      </c>
      <c r="AD122" s="279" t="e">
        <f>1/IF(Q122="",Q123,Q122)</f>
        <v>#DIV/0!</v>
      </c>
      <c r="AE122" s="279" t="e">
        <f>AA122*((AC122+AD122)/AC122)^E122</f>
        <v>#VALUE!</v>
      </c>
      <c r="AF122" s="279" t="e">
        <f>AA122/((IF(K122="",K123,K122)/(IF(Q122="",Q123,Q122)*2)))</f>
        <v>#DIV/0!</v>
      </c>
      <c r="AG122" s="279" t="e">
        <f>AF122/2</f>
        <v>#DIV/0!</v>
      </c>
      <c r="AH122" s="279" t="e">
        <f>AE122/((IF(K122="",K123,K122)/(IF(Q122="",Q123,Q122)*2)))</f>
        <v>#VALUE!</v>
      </c>
      <c r="AI122" s="279" t="e">
        <f>AH122/2</f>
        <v>#VALUE!</v>
      </c>
      <c r="AJ122" s="279" t="e">
        <f>AI122-AG122</f>
        <v>#VALUE!</v>
      </c>
      <c r="AK122" s="280" t="e">
        <f>AJ122*IF(F122="Use Default",G122,G123)</f>
        <v>#VALUE!</v>
      </c>
      <c r="AL122" s="279" t="e">
        <f>AA122*IF(K122="",K123,K122)/((IF(K122="",K123,K122)/(IF(Q122="",Q123,Q122)*2)))</f>
        <v>#DIV/0!</v>
      </c>
      <c r="AM122" s="278" t="e">
        <f>AL122/2</f>
        <v>#DIV/0!</v>
      </c>
      <c r="AN122" s="279" t="e">
        <f>AE122*IF(K122="",K123,K122)/((IF(K122="",K123,K122)/(IF(Q122="",Q123,Q122)*2)))</f>
        <v>#VALUE!</v>
      </c>
      <c r="AO122" s="278" t="e">
        <f>AN122/2</f>
        <v>#VALUE!</v>
      </c>
      <c r="AP122" s="278" t="e">
        <f>AO122-AM122</f>
        <v>#VALUE!</v>
      </c>
      <c r="AQ122" s="280" t="e">
        <f>AP122*IF(H122="Use Default",I122,I123)</f>
        <v>#VALUE!</v>
      </c>
      <c r="AR122" s="280" t="e">
        <f>AQ122+AK122</f>
        <v>#VALUE!</v>
      </c>
      <c r="AS122" s="281" t="e">
        <f>(AE122-AA122)/AA122</f>
        <v>#VALUE!</v>
      </c>
      <c r="AT122" s="281" t="e">
        <f>AS122*U122</f>
        <v>#VALUE!</v>
      </c>
      <c r="AU122" s="282" t="e">
        <f>AC122*IF(Q122="",Q123,Q122)*2</f>
        <v>#VALUE!</v>
      </c>
      <c r="AV122" s="278" t="e">
        <f>AU122/2</f>
        <v>#VALUE!</v>
      </c>
      <c r="AW122" s="282" t="e">
        <f>AV122*IF(T122="",T123,T122)</f>
        <v>#VALUE!</v>
      </c>
      <c r="AX122" s="279" t="e">
        <f>AW122*AT122</f>
        <v>#VALUE!</v>
      </c>
      <c r="AY122" s="280" t="e">
        <f>AX122*R122</f>
        <v>#VALUE!</v>
      </c>
      <c r="AZ122" s="280" t="e">
        <f>AX122*'AC model'!$D$18</f>
        <v>#VALUE!</v>
      </c>
      <c r="BA122" s="280" t="e">
        <f>AR122-AY122+AZ122</f>
        <v>#VALUE!</v>
      </c>
      <c r="BB122" s="278"/>
      <c r="BC122" s="278"/>
      <c r="BD122" s="278"/>
      <c r="BE122" s="278"/>
      <c r="BF122" s="278"/>
      <c r="BG122" s="278"/>
      <c r="BH122" s="278"/>
      <c r="BI122" s="278"/>
      <c r="BJ122" s="278"/>
      <c r="BK122" s="278"/>
      <c r="BL122" s="278"/>
      <c r="BM122" s="278"/>
      <c r="BN122" s="278"/>
      <c r="BO122" s="278"/>
      <c r="BP122" s="278"/>
      <c r="BQ122" s="278"/>
      <c r="BR122" s="278"/>
      <c r="BS122" s="278"/>
      <c r="BT122" s="278"/>
      <c r="BU122" s="278"/>
      <c r="BV122" s="278"/>
      <c r="BW122" s="278"/>
      <c r="BX122" s="278"/>
      <c r="BY122" s="278"/>
      <c r="BZ122" s="278"/>
      <c r="CA122" s="278"/>
      <c r="CB122" s="278"/>
      <c r="CC122" s="278"/>
      <c r="CD122" s="278"/>
      <c r="CE122" s="278"/>
      <c r="CF122" s="278"/>
      <c r="CG122" s="278"/>
      <c r="CH122" s="278"/>
      <c r="CI122" s="278"/>
      <c r="CJ122" s="278"/>
      <c r="CK122" s="278"/>
      <c r="CL122" s="278"/>
      <c r="CM122" s="278"/>
      <c r="CN122" s="278"/>
      <c r="CO122" s="278"/>
      <c r="CP122" s="278"/>
      <c r="CQ122" s="278"/>
      <c r="CR122" s="278"/>
      <c r="CS122" s="278"/>
      <c r="CT122" s="278"/>
      <c r="CU122" s="278"/>
      <c r="CV122" s="278"/>
    </row>
    <row r="123" spans="1:100" s="231" customFormat="1" ht="15.75">
      <c r="A123" s="271"/>
      <c r="B123" s="267"/>
      <c r="C123" s="222"/>
      <c r="D123" s="222"/>
      <c r="E123" s="222"/>
      <c r="F123" s="224">
        <f>IF(F122="Use Local Value","Enter Local Value","")</f>
      </c>
      <c r="G123" s="763"/>
      <c r="H123" s="224">
        <f>IF(H122="Use Local Value","Enter Local Value","")</f>
      </c>
      <c r="I123" s="763"/>
      <c r="J123" s="224">
        <f>IF(J122="Use Local Value","Enter Local Value","")</f>
      </c>
      <c r="K123" s="225"/>
      <c r="L123" s="224">
        <f>IF(L122="Use Local Value","Enter Local Value","")</f>
      </c>
      <c r="M123" s="226"/>
      <c r="N123" s="224">
        <f>IF(N122="Use Local Value","Enter Local Value","")</f>
      </c>
      <c r="O123" s="226"/>
      <c r="P123" s="224">
        <f>IF(P122="Use Local Value","Enter Local Value","")</f>
      </c>
      <c r="Q123" s="226"/>
      <c r="R123" s="222"/>
      <c r="S123" s="224">
        <f>IF(S122="Use Local Value","Enter Local Value","")</f>
      </c>
      <c r="T123" s="304"/>
      <c r="U123" s="222"/>
      <c r="V123" s="222"/>
      <c r="W123" s="245"/>
      <c r="X123" s="245"/>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7"/>
      <c r="BH123" s="247"/>
      <c r="BI123" s="246"/>
      <c r="BJ123" s="246"/>
      <c r="BK123" s="246"/>
      <c r="BL123" s="246"/>
      <c r="BM123" s="246"/>
      <c r="BN123" s="246"/>
      <c r="BO123" s="246"/>
      <c r="BP123" s="246"/>
      <c r="BQ123" s="246"/>
      <c r="BR123" s="246"/>
      <c r="BS123" s="246"/>
      <c r="BT123" s="246"/>
      <c r="BU123" s="246"/>
      <c r="BV123" s="246"/>
      <c r="BW123" s="246"/>
      <c r="BX123" s="246"/>
      <c r="BY123" s="246"/>
      <c r="BZ123" s="246"/>
      <c r="CA123" s="246"/>
      <c r="CB123" s="246"/>
      <c r="CC123" s="246"/>
      <c r="CD123" s="246"/>
      <c r="CE123" s="246"/>
      <c r="CF123" s="246"/>
      <c r="CG123" s="246"/>
      <c r="CH123" s="246"/>
      <c r="CI123" s="246"/>
      <c r="CJ123" s="246"/>
      <c r="CK123" s="246"/>
      <c r="CL123" s="246"/>
      <c r="CM123" s="246"/>
      <c r="CN123" s="246"/>
      <c r="CO123" s="246"/>
      <c r="CP123" s="246"/>
      <c r="CQ123" s="246"/>
      <c r="CR123" s="246"/>
      <c r="CS123" s="246"/>
      <c r="CT123" s="246"/>
      <c r="CU123" s="246"/>
      <c r="CV123" s="246"/>
    </row>
    <row r="124" spans="1:100" s="248" customFormat="1" ht="17.25" customHeight="1" thickBot="1">
      <c r="A124" s="272"/>
      <c r="B124" s="268"/>
      <c r="C124" s="249"/>
      <c r="D124" s="249"/>
      <c r="E124" s="249"/>
      <c r="F124" s="249"/>
      <c r="G124" s="249"/>
      <c r="H124" s="249"/>
      <c r="I124" s="249"/>
      <c r="J124" s="250"/>
      <c r="K124" s="251"/>
      <c r="L124" s="250"/>
      <c r="M124" s="252"/>
      <c r="N124" s="250"/>
      <c r="O124" s="252"/>
      <c r="P124" s="250"/>
      <c r="Q124" s="252"/>
      <c r="R124" s="249"/>
      <c r="S124" s="250"/>
      <c r="T124" s="305"/>
      <c r="U124" s="249"/>
      <c r="V124" s="249"/>
      <c r="W124" s="249"/>
      <c r="X124" s="276"/>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283"/>
      <c r="AW124" s="283"/>
      <c r="AX124" s="283"/>
      <c r="AY124" s="283"/>
      <c r="AZ124" s="283"/>
      <c r="BA124" s="283"/>
      <c r="BB124" s="283"/>
      <c r="BC124" s="283"/>
      <c r="BD124" s="283"/>
      <c r="BE124" s="283"/>
      <c r="BF124" s="283"/>
      <c r="BG124" s="284"/>
      <c r="BH124" s="284"/>
      <c r="BI124" s="283"/>
      <c r="BJ124" s="283"/>
      <c r="BK124" s="283"/>
      <c r="BL124" s="283"/>
      <c r="BM124" s="283"/>
      <c r="BN124" s="283"/>
      <c r="BO124" s="283"/>
      <c r="BP124" s="283"/>
      <c r="BQ124" s="283"/>
      <c r="BR124" s="283"/>
      <c r="BS124" s="283"/>
      <c r="BT124" s="283"/>
      <c r="BU124" s="283"/>
      <c r="BV124" s="283"/>
      <c r="BW124" s="283"/>
      <c r="BX124" s="283"/>
      <c r="BY124" s="283"/>
      <c r="BZ124" s="283"/>
      <c r="CA124" s="283"/>
      <c r="CB124" s="283"/>
      <c r="CC124" s="283"/>
      <c r="CD124" s="283"/>
      <c r="CE124" s="283"/>
      <c r="CF124" s="283"/>
      <c r="CG124" s="283"/>
      <c r="CH124" s="283"/>
      <c r="CI124" s="283"/>
      <c r="CJ124" s="283"/>
      <c r="CK124" s="283"/>
      <c r="CL124" s="283"/>
      <c r="CM124" s="283"/>
      <c r="CN124" s="283"/>
      <c r="CO124" s="283"/>
      <c r="CP124" s="283"/>
      <c r="CQ124" s="283"/>
      <c r="CR124" s="283"/>
      <c r="CS124" s="283"/>
      <c r="CT124" s="283"/>
      <c r="CU124" s="283"/>
      <c r="CV124" s="283"/>
    </row>
    <row r="125" spans="1:100" s="253" customFormat="1" ht="15.75">
      <c r="A125" s="270" t="s">
        <v>30</v>
      </c>
      <c r="B125" s="266" t="s">
        <v>380</v>
      </c>
      <c r="C125" s="802">
        <f>IF(A125="No","",1-'RF model'!$C$14)</f>
      </c>
      <c r="D125" s="254"/>
      <c r="E125" s="255">
        <f>IF(A125="No","",0.6)</f>
      </c>
      <c r="F125" s="762" t="s">
        <v>17</v>
      </c>
      <c r="G125" s="256">
        <f>IF(A125="No","",IF(F125="Use Default",13.3*(VLOOKUP('Start Page'!$G$4,'RF Workings'!$E$3:$G$13,2)/'RF Workings'!$F$7),""))</f>
      </c>
      <c r="H125" s="762" t="s">
        <v>17</v>
      </c>
      <c r="I125" s="256">
        <f>IF(A125="No","",IF(H125="Use Default",0.7*(VLOOKUP('Start Page'!$G$4,'RF Workings'!$E$3:$G$13,2)/'RF Workings'!$F$7),""))</f>
      </c>
      <c r="J125" s="257" t="s">
        <v>17</v>
      </c>
      <c r="K125" s="801">
        <f>IF(A125="No","",IF(J125="Use Default",IF($F$1="Non-PTE",$AB$3,$AA$3),""))</f>
      </c>
      <c r="L125" s="258" t="s">
        <v>17</v>
      </c>
      <c r="M125" s="259">
        <f>IF(A125="No","",IF(L125="Use Default",IF($F$1="Non-PTE",$AB$4,$AA$4),""))</f>
      </c>
      <c r="N125" s="258" t="s">
        <v>17</v>
      </c>
      <c r="O125" s="800">
        <f>IF(A125="No","",IF(N125="Use Default",IF($F$1="Non-PTE",$AB$5,$AA$5),""))</f>
      </c>
      <c r="P125" s="258" t="s">
        <v>17</v>
      </c>
      <c r="Q125" s="801">
        <f>IF(A125="No","",(IF(P125="Use Default",IF($F$1="Non-PTE",$AB$6,$AA$6),"")))</f>
      </c>
      <c r="R125" s="260"/>
      <c r="S125" s="258" t="s">
        <v>17</v>
      </c>
      <c r="T125" s="303">
        <f>IF(A125="No","",IF(S125="Use Default",IF('MCC Model '!$F$1="Non-PTE",$AB$7,$AA$7),""))</f>
      </c>
      <c r="U125" s="255">
        <f>IF(A125="No","",0.66)</f>
      </c>
      <c r="V125" s="433">
        <f>IF(A125="Yes",(IF(BA125&lt;0,0,BA125)),"")</f>
      </c>
      <c r="W125" s="434">
        <f>IF(A125="Yes",V125*C125*D125,"")</f>
      </c>
      <c r="X125" s="275"/>
      <c r="Y125" s="278"/>
      <c r="Z125" s="278"/>
      <c r="AA125" s="278">
        <f>IF(F115="Non-PTE",AB122,AA122)</f>
        <v>6</v>
      </c>
      <c r="AB125" s="279" t="e">
        <f>IF(AND(N125="Use Default",P125="Use Default"),Q125/O125,IF(AND(N125="Use Local Value",P125="Use Default"),Q125/O126,IF(AND(N125="Use Default",P125="Use Local Value"),Q126/O125,IF(AND(N125="Use Local Value",P125="Use Local Value"),Q126/O126))))*IF($M125="",$M126,$M125)/IF($Q125="",Q126,$Q125)</f>
        <v>#VALUE!</v>
      </c>
      <c r="AC125" s="279" t="e">
        <f>AA125*AB125</f>
        <v>#VALUE!</v>
      </c>
      <c r="AD125" s="279" t="e">
        <f>1/IF(Q125="",Q126,Q125)</f>
        <v>#DIV/0!</v>
      </c>
      <c r="AE125" s="279" t="e">
        <f>AA125*((AC125+AD125)/AC125)^E125</f>
        <v>#VALUE!</v>
      </c>
      <c r="AF125" s="279" t="e">
        <f>AA125/((IF(K125="",K126,K125)/(IF(Q125="",Q126,Q125)*2)))</f>
        <v>#DIV/0!</v>
      </c>
      <c r="AG125" s="279" t="e">
        <f>AF125/2</f>
        <v>#DIV/0!</v>
      </c>
      <c r="AH125" s="279" t="e">
        <f>AE125/((IF(K125="",K126,K125)/(IF(Q125="",Q126,Q125)*2)))</f>
        <v>#VALUE!</v>
      </c>
      <c r="AI125" s="279" t="e">
        <f>AH125/2</f>
        <v>#VALUE!</v>
      </c>
      <c r="AJ125" s="279" t="e">
        <f>AI125-AG125</f>
        <v>#VALUE!</v>
      </c>
      <c r="AK125" s="280" t="e">
        <f>AJ125*IF(F125="Use Default",G125,G126)</f>
        <v>#VALUE!</v>
      </c>
      <c r="AL125" s="279" t="e">
        <f>AA125*IF(K125="",K126,K125)/((IF(K125="",K126,K125)/(IF(Q125="",Q126,Q125)*2)))</f>
        <v>#DIV/0!</v>
      </c>
      <c r="AM125" s="278" t="e">
        <f>AL125/2</f>
        <v>#DIV/0!</v>
      </c>
      <c r="AN125" s="279" t="e">
        <f>AE125*IF(K125="",K126,K125)/((IF(K125="",K126,K125)/(IF(Q125="",Q126,Q125)*2)))</f>
        <v>#VALUE!</v>
      </c>
      <c r="AO125" s="278" t="e">
        <f>AN125/2</f>
        <v>#VALUE!</v>
      </c>
      <c r="AP125" s="278" t="e">
        <f>AO125-AM125</f>
        <v>#VALUE!</v>
      </c>
      <c r="AQ125" s="280" t="e">
        <f>AP125*IF(H125="Use Default",I125,I126)</f>
        <v>#VALUE!</v>
      </c>
      <c r="AR125" s="280" t="e">
        <f>AQ125+AK125</f>
        <v>#VALUE!</v>
      </c>
      <c r="AS125" s="281" t="e">
        <f>(AE125-AA125)/AA125</f>
        <v>#VALUE!</v>
      </c>
      <c r="AT125" s="281" t="e">
        <f>AS125*U125</f>
        <v>#VALUE!</v>
      </c>
      <c r="AU125" s="282" t="e">
        <f>AC125*IF(Q125="",Q126,Q125)*2</f>
        <v>#VALUE!</v>
      </c>
      <c r="AV125" s="278" t="e">
        <f>AU125/2</f>
        <v>#VALUE!</v>
      </c>
      <c r="AW125" s="282" t="e">
        <f>AV125*IF(T125="",T126,T125)</f>
        <v>#VALUE!</v>
      </c>
      <c r="AX125" s="279" t="e">
        <f>AW125*AT125</f>
        <v>#VALUE!</v>
      </c>
      <c r="AY125" s="280" t="e">
        <f>AX125*R125</f>
        <v>#VALUE!</v>
      </c>
      <c r="AZ125" s="280" t="e">
        <f>AX125*'AC model'!$D$18</f>
        <v>#VALUE!</v>
      </c>
      <c r="BA125" s="280" t="e">
        <f>AR125-AY125+AZ125</f>
        <v>#VALUE!</v>
      </c>
      <c r="BB125" s="278"/>
      <c r="BC125" s="278"/>
      <c r="BD125" s="278"/>
      <c r="BE125" s="278"/>
      <c r="BF125" s="278"/>
      <c r="BG125" s="278"/>
      <c r="BH125" s="278"/>
      <c r="BI125" s="278"/>
      <c r="BJ125" s="278"/>
      <c r="BK125" s="278"/>
      <c r="BL125" s="278"/>
      <c r="BM125" s="278"/>
      <c r="BN125" s="278"/>
      <c r="BO125" s="278"/>
      <c r="BP125" s="278"/>
      <c r="BQ125" s="278"/>
      <c r="BR125" s="278"/>
      <c r="BS125" s="278"/>
      <c r="BT125" s="278"/>
      <c r="BU125" s="278"/>
      <c r="BV125" s="278"/>
      <c r="BW125" s="278"/>
      <c r="BX125" s="278"/>
      <c r="BY125" s="278"/>
      <c r="BZ125" s="278"/>
      <c r="CA125" s="278"/>
      <c r="CB125" s="278"/>
      <c r="CC125" s="278"/>
      <c r="CD125" s="278"/>
      <c r="CE125" s="278"/>
      <c r="CF125" s="278"/>
      <c r="CG125" s="278"/>
      <c r="CH125" s="278"/>
      <c r="CI125" s="278"/>
      <c r="CJ125" s="278"/>
      <c r="CK125" s="278"/>
      <c r="CL125" s="278"/>
      <c r="CM125" s="278"/>
      <c r="CN125" s="278"/>
      <c r="CO125" s="278"/>
      <c r="CP125" s="278"/>
      <c r="CQ125" s="278"/>
      <c r="CR125" s="278"/>
      <c r="CS125" s="278"/>
      <c r="CT125" s="278"/>
      <c r="CU125" s="278"/>
      <c r="CV125" s="278"/>
    </row>
    <row r="126" spans="1:100" s="231" customFormat="1" ht="15.75">
      <c r="A126" s="271"/>
      <c r="B126" s="267"/>
      <c r="C126" s="222"/>
      <c r="D126" s="222"/>
      <c r="E126" s="222"/>
      <c r="F126" s="224">
        <f>IF(F125="Use Local Value","Enter Local Value","")</f>
      </c>
      <c r="G126" s="763"/>
      <c r="H126" s="224">
        <f>IF(H125="Use Local Value","Enter Local Value","")</f>
      </c>
      <c r="I126" s="763"/>
      <c r="J126" s="224">
        <f>IF(J125="Use Local Value","Enter Local Value","")</f>
      </c>
      <c r="K126" s="225"/>
      <c r="L126" s="224">
        <f>IF(L125="Use Local Value","Enter Local Value","")</f>
      </c>
      <c r="M126" s="226"/>
      <c r="N126" s="224">
        <f>IF(N125="Use Local Value","Enter Local Value","")</f>
      </c>
      <c r="O126" s="226"/>
      <c r="P126" s="224">
        <f>IF(P125="Use Local Value","Enter Local Value","")</f>
      </c>
      <c r="Q126" s="226"/>
      <c r="R126" s="222"/>
      <c r="S126" s="224">
        <f>IF(S125="Use Local Value","Enter Local Value","")</f>
      </c>
      <c r="T126" s="304"/>
      <c r="U126" s="222"/>
      <c r="V126" s="222"/>
      <c r="W126" s="245"/>
      <c r="X126" s="245"/>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c r="BC126" s="246"/>
      <c r="BD126" s="246"/>
      <c r="BE126" s="246"/>
      <c r="BF126" s="246"/>
      <c r="BG126" s="247"/>
      <c r="BH126" s="247"/>
      <c r="BI126" s="246"/>
      <c r="BJ126" s="246"/>
      <c r="BK126" s="246"/>
      <c r="BL126" s="246"/>
      <c r="BM126" s="246"/>
      <c r="BN126" s="246"/>
      <c r="BO126" s="246"/>
      <c r="BP126" s="246"/>
      <c r="BQ126" s="246"/>
      <c r="BR126" s="246"/>
      <c r="BS126" s="246"/>
      <c r="BT126" s="246"/>
      <c r="BU126" s="246"/>
      <c r="BV126" s="246"/>
      <c r="BW126" s="246"/>
      <c r="BX126" s="246"/>
      <c r="BY126" s="246"/>
      <c r="BZ126" s="246"/>
      <c r="CA126" s="246"/>
      <c r="CB126" s="246"/>
      <c r="CC126" s="246"/>
      <c r="CD126" s="246"/>
      <c r="CE126" s="246"/>
      <c r="CF126" s="246"/>
      <c r="CG126" s="246"/>
      <c r="CH126" s="246"/>
      <c r="CI126" s="246"/>
      <c r="CJ126" s="246"/>
      <c r="CK126" s="246"/>
      <c r="CL126" s="246"/>
      <c r="CM126" s="246"/>
      <c r="CN126" s="246"/>
      <c r="CO126" s="246"/>
      <c r="CP126" s="246"/>
      <c r="CQ126" s="246"/>
      <c r="CR126" s="246"/>
      <c r="CS126" s="246"/>
      <c r="CT126" s="246"/>
      <c r="CU126" s="246"/>
      <c r="CV126" s="246"/>
    </row>
    <row r="127" spans="1:100" s="248" customFormat="1" ht="17.25" customHeight="1" thickBot="1">
      <c r="A127" s="272"/>
      <c r="B127" s="268"/>
      <c r="C127" s="249"/>
      <c r="D127" s="249"/>
      <c r="E127" s="249"/>
      <c r="F127" s="249"/>
      <c r="G127" s="249"/>
      <c r="H127" s="249"/>
      <c r="I127" s="249"/>
      <c r="J127" s="250"/>
      <c r="K127" s="251"/>
      <c r="L127" s="250"/>
      <c r="M127" s="252"/>
      <c r="N127" s="250"/>
      <c r="O127" s="252"/>
      <c r="P127" s="250"/>
      <c r="Q127" s="252"/>
      <c r="R127" s="249"/>
      <c r="S127" s="250"/>
      <c r="T127" s="305"/>
      <c r="U127" s="249"/>
      <c r="V127" s="249"/>
      <c r="W127" s="249"/>
      <c r="X127" s="276"/>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c r="AW127" s="283"/>
      <c r="AX127" s="283"/>
      <c r="AY127" s="283"/>
      <c r="AZ127" s="283"/>
      <c r="BA127" s="283"/>
      <c r="BB127" s="283"/>
      <c r="BC127" s="283"/>
      <c r="BD127" s="283"/>
      <c r="BE127" s="283"/>
      <c r="BF127" s="283"/>
      <c r="BG127" s="284"/>
      <c r="BH127" s="284"/>
      <c r="BI127" s="283"/>
      <c r="BJ127" s="283"/>
      <c r="BK127" s="283"/>
      <c r="BL127" s="283"/>
      <c r="BM127" s="283"/>
      <c r="BN127" s="283"/>
      <c r="BO127" s="283"/>
      <c r="BP127" s="283"/>
      <c r="BQ127" s="283"/>
      <c r="BR127" s="283"/>
      <c r="BS127" s="283"/>
      <c r="BT127" s="283"/>
      <c r="BU127" s="283"/>
      <c r="BV127" s="283"/>
      <c r="BW127" s="283"/>
      <c r="BX127" s="283"/>
      <c r="BY127" s="283"/>
      <c r="BZ127" s="283"/>
      <c r="CA127" s="283"/>
      <c r="CB127" s="283"/>
      <c r="CC127" s="283"/>
      <c r="CD127" s="283"/>
      <c r="CE127" s="283"/>
      <c r="CF127" s="283"/>
      <c r="CG127" s="283"/>
      <c r="CH127" s="283"/>
      <c r="CI127" s="283"/>
      <c r="CJ127" s="283"/>
      <c r="CK127" s="283"/>
      <c r="CL127" s="283"/>
      <c r="CM127" s="283"/>
      <c r="CN127" s="283"/>
      <c r="CO127" s="283"/>
      <c r="CP127" s="283"/>
      <c r="CQ127" s="283"/>
      <c r="CR127" s="283"/>
      <c r="CS127" s="283"/>
      <c r="CT127" s="283"/>
      <c r="CU127" s="283"/>
      <c r="CV127" s="283"/>
    </row>
    <row r="128" spans="1:100" s="253" customFormat="1" ht="15.75">
      <c r="A128" s="270" t="s">
        <v>30</v>
      </c>
      <c r="B128" s="266" t="s">
        <v>380</v>
      </c>
      <c r="C128" s="802">
        <f>IF(A128="No","",1-'RF model'!$C$14)</f>
      </c>
      <c r="D128" s="254"/>
      <c r="E128" s="255">
        <f>IF(A128="No","",0.6)</f>
      </c>
      <c r="F128" s="762" t="s">
        <v>17</v>
      </c>
      <c r="G128" s="256">
        <f>IF(A128="No","",IF(F128="Use Default",13.3*(VLOOKUP('Start Page'!$G$4,'RF Workings'!$E$3:$G$13,2)/'RF Workings'!$F$7),""))</f>
      </c>
      <c r="H128" s="762" t="s">
        <v>17</v>
      </c>
      <c r="I128" s="256">
        <f>IF(A128="No","",IF(H128="Use Default",0.7*(VLOOKUP('Start Page'!$G$4,'RF Workings'!$E$3:$G$13,2)/'RF Workings'!$F$7),""))</f>
      </c>
      <c r="J128" s="257" t="s">
        <v>17</v>
      </c>
      <c r="K128" s="801">
        <f>IF(A128="No","",IF(J128="Use Default",IF($F$1="Non-PTE",$AB$3,$AA$3),""))</f>
      </c>
      <c r="L128" s="258" t="s">
        <v>17</v>
      </c>
      <c r="M128" s="259">
        <f>IF(A128="No","",IF(L128="Use Default",IF($F$1="Non-PTE",$AB$4,$AA$4),""))</f>
      </c>
      <c r="N128" s="258" t="s">
        <v>17</v>
      </c>
      <c r="O128" s="800">
        <f>IF(A128="No","",IF(N128="Use Default",IF($F$1="Non-PTE",$AB$5,$AA$5),""))</f>
      </c>
      <c r="P128" s="258" t="s">
        <v>17</v>
      </c>
      <c r="Q128" s="801">
        <f>IF(A128="No","",(IF(P128="Use Default",IF($F$1="Non-PTE",$AB$6,$AA$6),"")))</f>
      </c>
      <c r="R128" s="260"/>
      <c r="S128" s="258" t="s">
        <v>17</v>
      </c>
      <c r="T128" s="303">
        <f>IF(A128="No","",IF(S128="Use Default",IF('MCC Model '!$F$1="Non-PTE",$AB$7,$AA$7),""))</f>
      </c>
      <c r="U128" s="255">
        <f>IF(A128="No","",0.66)</f>
      </c>
      <c r="V128" s="433">
        <f>IF(A128="Yes",(IF(BA128&lt;0,0,BA128)),"")</f>
      </c>
      <c r="W128" s="434">
        <f>IF(A128="Yes",V128*C128*D128,"")</f>
      </c>
      <c r="X128" s="275"/>
      <c r="Y128" s="278"/>
      <c r="Z128" s="278"/>
      <c r="AA128" s="278">
        <f>IF(F118="Non-PTE",AB125,AA125)</f>
        <v>6</v>
      </c>
      <c r="AB128" s="279" t="e">
        <f>IF(AND(N128="Use Default",P128="Use Default"),Q128/O128,IF(AND(N128="Use Local Value",P128="Use Default"),Q128/O129,IF(AND(N128="Use Default",P128="Use Local Value"),Q129/O128,IF(AND(N128="Use Local Value",P128="Use Local Value"),Q129/O129))))*IF($M128="",$M129,$M128)/IF($Q128="",Q129,$Q128)</f>
        <v>#VALUE!</v>
      </c>
      <c r="AC128" s="279" t="e">
        <f>AA128*AB128</f>
        <v>#VALUE!</v>
      </c>
      <c r="AD128" s="279" t="e">
        <f>1/IF(Q128="",Q129,Q128)</f>
        <v>#DIV/0!</v>
      </c>
      <c r="AE128" s="279" t="e">
        <f>AA128*((AC128+AD128)/AC128)^E128</f>
        <v>#VALUE!</v>
      </c>
      <c r="AF128" s="279" t="e">
        <f>AA128/((IF(K128="",K129,K128)/(IF(Q128="",Q129,Q128)*2)))</f>
        <v>#DIV/0!</v>
      </c>
      <c r="AG128" s="279" t="e">
        <f>AF128/2</f>
        <v>#DIV/0!</v>
      </c>
      <c r="AH128" s="279" t="e">
        <f>AE128/((IF(K128="",K129,K128)/(IF(Q128="",Q129,Q128)*2)))</f>
        <v>#VALUE!</v>
      </c>
      <c r="AI128" s="279" t="e">
        <f>AH128/2</f>
        <v>#VALUE!</v>
      </c>
      <c r="AJ128" s="279" t="e">
        <f>AI128-AG128</f>
        <v>#VALUE!</v>
      </c>
      <c r="AK128" s="280" t="e">
        <f>AJ128*IF(F128="Use Default",G128,G129)</f>
        <v>#VALUE!</v>
      </c>
      <c r="AL128" s="279" t="e">
        <f>AA128*IF(K128="",K129,K128)/((IF(K128="",K129,K128)/(IF(Q128="",Q129,Q128)*2)))</f>
        <v>#DIV/0!</v>
      </c>
      <c r="AM128" s="278" t="e">
        <f>AL128/2</f>
        <v>#DIV/0!</v>
      </c>
      <c r="AN128" s="279" t="e">
        <f>AE128*IF(K128="",K129,K128)/((IF(K128="",K129,K128)/(IF(Q128="",Q129,Q128)*2)))</f>
        <v>#VALUE!</v>
      </c>
      <c r="AO128" s="278" t="e">
        <f>AN128/2</f>
        <v>#VALUE!</v>
      </c>
      <c r="AP128" s="278" t="e">
        <f>AO128-AM128</f>
        <v>#VALUE!</v>
      </c>
      <c r="AQ128" s="280" t="e">
        <f>AP128*IF(H128="Use Default",I128,I129)</f>
        <v>#VALUE!</v>
      </c>
      <c r="AR128" s="280" t="e">
        <f>AQ128+AK128</f>
        <v>#VALUE!</v>
      </c>
      <c r="AS128" s="281" t="e">
        <f>(AE128-AA128)/AA128</f>
        <v>#VALUE!</v>
      </c>
      <c r="AT128" s="281" t="e">
        <f>AS128*U128</f>
        <v>#VALUE!</v>
      </c>
      <c r="AU128" s="282" t="e">
        <f>AC128*IF(Q128="",Q129,Q128)*2</f>
        <v>#VALUE!</v>
      </c>
      <c r="AV128" s="278" t="e">
        <f>AU128/2</f>
        <v>#VALUE!</v>
      </c>
      <c r="AW128" s="282" t="e">
        <f>AV128*IF(T128="",T129,T128)</f>
        <v>#VALUE!</v>
      </c>
      <c r="AX128" s="279" t="e">
        <f>AW128*AT128</f>
        <v>#VALUE!</v>
      </c>
      <c r="AY128" s="280" t="e">
        <f>AX128*R128</f>
        <v>#VALUE!</v>
      </c>
      <c r="AZ128" s="280" t="e">
        <f>AX128*'AC model'!$D$18</f>
        <v>#VALUE!</v>
      </c>
      <c r="BA128" s="280" t="e">
        <f>AR128-AY128+AZ128</f>
        <v>#VALUE!</v>
      </c>
      <c r="BB128" s="278"/>
      <c r="BC128" s="278"/>
      <c r="BD128" s="278"/>
      <c r="BE128" s="278"/>
      <c r="BF128" s="278"/>
      <c r="BG128" s="278"/>
      <c r="BH128" s="278"/>
      <c r="BI128" s="278"/>
      <c r="BJ128" s="278"/>
      <c r="BK128" s="278"/>
      <c r="BL128" s="278"/>
      <c r="BM128" s="278"/>
      <c r="BN128" s="278"/>
      <c r="BO128" s="278"/>
      <c r="BP128" s="278"/>
      <c r="BQ128" s="278"/>
      <c r="BR128" s="278"/>
      <c r="BS128" s="278"/>
      <c r="BT128" s="278"/>
      <c r="BU128" s="278"/>
      <c r="BV128" s="278"/>
      <c r="BW128" s="278"/>
      <c r="BX128" s="278"/>
      <c r="BY128" s="278"/>
      <c r="BZ128" s="278"/>
      <c r="CA128" s="278"/>
      <c r="CB128" s="278"/>
      <c r="CC128" s="278"/>
      <c r="CD128" s="278"/>
      <c r="CE128" s="278"/>
      <c r="CF128" s="278"/>
      <c r="CG128" s="278"/>
      <c r="CH128" s="278"/>
      <c r="CI128" s="278"/>
      <c r="CJ128" s="278"/>
      <c r="CK128" s="278"/>
      <c r="CL128" s="278"/>
      <c r="CM128" s="278"/>
      <c r="CN128" s="278"/>
      <c r="CO128" s="278"/>
      <c r="CP128" s="278"/>
      <c r="CQ128" s="278"/>
      <c r="CR128" s="278"/>
      <c r="CS128" s="278"/>
      <c r="CT128" s="278"/>
      <c r="CU128" s="278"/>
      <c r="CV128" s="278"/>
    </row>
    <row r="129" spans="1:100" s="231" customFormat="1" ht="15.75">
      <c r="A129" s="271"/>
      <c r="B129" s="267"/>
      <c r="C129" s="222"/>
      <c r="D129" s="222"/>
      <c r="E129" s="222"/>
      <c r="F129" s="224">
        <f>IF(F128="Use Local Value","Enter Local Value","")</f>
      </c>
      <c r="G129" s="763"/>
      <c r="H129" s="224">
        <f>IF(H128="Use Local Value","Enter Local Value","")</f>
      </c>
      <c r="I129" s="763"/>
      <c r="J129" s="224">
        <f>IF(J128="Use Local Value","Enter Local Value","")</f>
      </c>
      <c r="K129" s="225"/>
      <c r="L129" s="224">
        <f>IF(L128="Use Local Value","Enter Local Value","")</f>
      </c>
      <c r="M129" s="226"/>
      <c r="N129" s="224">
        <f>IF(N128="Use Local Value","Enter Local Value","")</f>
      </c>
      <c r="O129" s="226"/>
      <c r="P129" s="224">
        <f>IF(P128="Use Local Value","Enter Local Value","")</f>
      </c>
      <c r="Q129" s="226"/>
      <c r="R129" s="222"/>
      <c r="S129" s="224">
        <f>IF(S128="Use Local Value","Enter Local Value","")</f>
      </c>
      <c r="T129" s="304"/>
      <c r="U129" s="222"/>
      <c r="V129" s="222"/>
      <c r="W129" s="245"/>
      <c r="X129" s="245"/>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c r="BC129" s="246"/>
      <c r="BD129" s="246"/>
      <c r="BE129" s="246"/>
      <c r="BF129" s="246"/>
      <c r="BG129" s="247"/>
      <c r="BH129" s="247"/>
      <c r="BI129" s="246"/>
      <c r="BJ129" s="246"/>
      <c r="BK129" s="246"/>
      <c r="BL129" s="246"/>
      <c r="BM129" s="246"/>
      <c r="BN129" s="246"/>
      <c r="BO129" s="246"/>
      <c r="BP129" s="246"/>
      <c r="BQ129" s="246"/>
      <c r="BR129" s="246"/>
      <c r="BS129" s="246"/>
      <c r="BT129" s="246"/>
      <c r="BU129" s="246"/>
      <c r="BV129" s="246"/>
      <c r="BW129" s="246"/>
      <c r="BX129" s="246"/>
      <c r="BY129" s="246"/>
      <c r="BZ129" s="246"/>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row>
    <row r="130" spans="1:100" s="248" customFormat="1" ht="17.25" customHeight="1" thickBot="1">
      <c r="A130" s="272"/>
      <c r="B130" s="268"/>
      <c r="C130" s="249"/>
      <c r="D130" s="249"/>
      <c r="E130" s="249"/>
      <c r="F130" s="249"/>
      <c r="G130" s="249"/>
      <c r="H130" s="249"/>
      <c r="I130" s="249"/>
      <c r="J130" s="250"/>
      <c r="K130" s="251"/>
      <c r="L130" s="250"/>
      <c r="M130" s="252"/>
      <c r="N130" s="250"/>
      <c r="O130" s="252"/>
      <c r="P130" s="250"/>
      <c r="Q130" s="252"/>
      <c r="R130" s="249"/>
      <c r="S130" s="250"/>
      <c r="T130" s="305"/>
      <c r="U130" s="249"/>
      <c r="V130" s="249"/>
      <c r="W130" s="249"/>
      <c r="X130" s="276"/>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3"/>
      <c r="AY130" s="283"/>
      <c r="AZ130" s="283"/>
      <c r="BA130" s="283"/>
      <c r="BB130" s="283"/>
      <c r="BC130" s="283"/>
      <c r="BD130" s="283"/>
      <c r="BE130" s="283"/>
      <c r="BF130" s="283"/>
      <c r="BG130" s="284"/>
      <c r="BH130" s="284"/>
      <c r="BI130" s="283"/>
      <c r="BJ130" s="283"/>
      <c r="BK130" s="283"/>
      <c r="BL130" s="283"/>
      <c r="BM130" s="283"/>
      <c r="BN130" s="283"/>
      <c r="BO130" s="283"/>
      <c r="BP130" s="283"/>
      <c r="BQ130" s="283"/>
      <c r="BR130" s="283"/>
      <c r="BS130" s="283"/>
      <c r="BT130" s="283"/>
      <c r="BU130" s="283"/>
      <c r="BV130" s="283"/>
      <c r="BW130" s="283"/>
      <c r="BX130" s="283"/>
      <c r="BY130" s="283"/>
      <c r="BZ130" s="283"/>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row>
    <row r="131" spans="1:100" s="253" customFormat="1" ht="15.75">
      <c r="A131" s="270" t="s">
        <v>30</v>
      </c>
      <c r="B131" s="266" t="s">
        <v>380</v>
      </c>
      <c r="C131" s="802">
        <f>IF(A131="No","",1-'RF model'!$C$14)</f>
      </c>
      <c r="D131" s="254"/>
      <c r="E131" s="255">
        <f>IF(A131="No","",0.6)</f>
      </c>
      <c r="F131" s="762" t="s">
        <v>17</v>
      </c>
      <c r="G131" s="256">
        <f>IF(A131="No","",IF(F131="Use Default",13.3*(VLOOKUP('Start Page'!$G$4,'RF Workings'!$E$3:$G$13,2)/'RF Workings'!$F$7),""))</f>
      </c>
      <c r="H131" s="762" t="s">
        <v>17</v>
      </c>
      <c r="I131" s="256">
        <f>IF(A131="No","",IF(H131="Use Default",0.7*(VLOOKUP('Start Page'!$G$4,'RF Workings'!$E$3:$G$13,2)/'RF Workings'!$F$7),""))</f>
      </c>
      <c r="J131" s="257" t="s">
        <v>17</v>
      </c>
      <c r="K131" s="801">
        <f>IF(A131="No","",IF(J131="Use Default",IF($F$1="Non-PTE",$AB$3,$AA$3),""))</f>
      </c>
      <c r="L131" s="258" t="s">
        <v>17</v>
      </c>
      <c r="M131" s="259">
        <f>IF(A131="No","",IF(L131="Use Default",IF($F$1="Non-PTE",$AB$4,$AA$4),""))</f>
      </c>
      <c r="N131" s="258" t="s">
        <v>17</v>
      </c>
      <c r="O131" s="800">
        <f>IF(A131="No","",IF(N131="Use Default",IF($F$1="Non-PTE",$AB$5,$AA$5),""))</f>
      </c>
      <c r="P131" s="258" t="s">
        <v>17</v>
      </c>
      <c r="Q131" s="801">
        <f>IF(A131="No","",(IF(P131="Use Default",IF($F$1="Non-PTE",$AB$6,$AA$6),"")))</f>
      </c>
      <c r="R131" s="260"/>
      <c r="S131" s="258" t="s">
        <v>17</v>
      </c>
      <c r="T131" s="303">
        <f>IF(A131="No","",IF(S131="Use Default",IF('MCC Model '!$F$1="Non-PTE",$AB$7,$AA$7),""))</f>
      </c>
      <c r="U131" s="255">
        <f>IF(A131="No","",0.66)</f>
      </c>
      <c r="V131" s="433">
        <f>IF(A131="Yes",(IF(BA131&lt;0,0,BA131)),"")</f>
      </c>
      <c r="W131" s="434">
        <f>IF(A131="Yes",V131*C131*D131,"")</f>
      </c>
      <c r="X131" s="275"/>
      <c r="Y131" s="278"/>
      <c r="Z131" s="278"/>
      <c r="AA131" s="278">
        <f>IF(F121="Non-PTE",AB128,AA128)</f>
        <v>6</v>
      </c>
      <c r="AB131" s="279" t="e">
        <f>IF(AND(N131="Use Default",P131="Use Default"),Q131/O131,IF(AND(N131="Use Local Value",P131="Use Default"),Q131/O132,IF(AND(N131="Use Default",P131="Use Local Value"),Q132/O131,IF(AND(N131="Use Local Value",P131="Use Local Value"),Q132/O132))))*IF($M131="",$M132,$M131)/IF($Q131="",Q132,$Q131)</f>
        <v>#VALUE!</v>
      </c>
      <c r="AC131" s="279" t="e">
        <f>AA131*AB131</f>
        <v>#VALUE!</v>
      </c>
      <c r="AD131" s="279" t="e">
        <f>1/IF(Q131="",Q132,Q131)</f>
        <v>#DIV/0!</v>
      </c>
      <c r="AE131" s="279" t="e">
        <f>AA131*((AC131+AD131)/AC131)^E131</f>
        <v>#VALUE!</v>
      </c>
      <c r="AF131" s="279" t="e">
        <f>AA131/((IF(K131="",K132,K131)/(IF(Q131="",Q132,Q131)*2)))</f>
        <v>#DIV/0!</v>
      </c>
      <c r="AG131" s="279" t="e">
        <f>AF131/2</f>
        <v>#DIV/0!</v>
      </c>
      <c r="AH131" s="279" t="e">
        <f>AE131/((IF(K131="",K132,K131)/(IF(Q131="",Q132,Q131)*2)))</f>
        <v>#VALUE!</v>
      </c>
      <c r="AI131" s="279" t="e">
        <f>AH131/2</f>
        <v>#VALUE!</v>
      </c>
      <c r="AJ131" s="279" t="e">
        <f>AI131-AG131</f>
        <v>#VALUE!</v>
      </c>
      <c r="AK131" s="280" t="e">
        <f>AJ131*IF(F131="Use Default",G131,G132)</f>
        <v>#VALUE!</v>
      </c>
      <c r="AL131" s="279" t="e">
        <f>AA131*IF(K131="",K132,K131)/((IF(K131="",K132,K131)/(IF(Q131="",Q132,Q131)*2)))</f>
        <v>#DIV/0!</v>
      </c>
      <c r="AM131" s="278" t="e">
        <f>AL131/2</f>
        <v>#DIV/0!</v>
      </c>
      <c r="AN131" s="279" t="e">
        <f>AE131*IF(K131="",K132,K131)/((IF(K131="",K132,K131)/(IF(Q131="",Q132,Q131)*2)))</f>
        <v>#VALUE!</v>
      </c>
      <c r="AO131" s="278" t="e">
        <f>AN131/2</f>
        <v>#VALUE!</v>
      </c>
      <c r="AP131" s="278" t="e">
        <f>AO131-AM131</f>
        <v>#VALUE!</v>
      </c>
      <c r="AQ131" s="280" t="e">
        <f>AP131*IF(H131="Use Default",I131,I132)</f>
        <v>#VALUE!</v>
      </c>
      <c r="AR131" s="280" t="e">
        <f>AQ131+AK131</f>
        <v>#VALUE!</v>
      </c>
      <c r="AS131" s="281" t="e">
        <f>(AE131-AA131)/AA131</f>
        <v>#VALUE!</v>
      </c>
      <c r="AT131" s="281" t="e">
        <f>AS131*U131</f>
        <v>#VALUE!</v>
      </c>
      <c r="AU131" s="282" t="e">
        <f>AC131*IF(Q131="",Q132,Q131)*2</f>
        <v>#VALUE!</v>
      </c>
      <c r="AV131" s="278" t="e">
        <f>AU131/2</f>
        <v>#VALUE!</v>
      </c>
      <c r="AW131" s="282" t="e">
        <f>AV131*IF(T131="",T132,T131)</f>
        <v>#VALUE!</v>
      </c>
      <c r="AX131" s="279" t="e">
        <f>AW131*AT131</f>
        <v>#VALUE!</v>
      </c>
      <c r="AY131" s="280" t="e">
        <f>AX131*R131</f>
        <v>#VALUE!</v>
      </c>
      <c r="AZ131" s="280" t="e">
        <f>AX131*'AC model'!$D$18</f>
        <v>#VALUE!</v>
      </c>
      <c r="BA131" s="280" t="e">
        <f>AR131-AY131+AZ131</f>
        <v>#VALUE!</v>
      </c>
      <c r="BB131" s="278"/>
      <c r="BC131" s="278"/>
      <c r="BD131" s="278"/>
      <c r="BE131" s="278"/>
      <c r="BF131" s="278"/>
      <c r="BG131" s="278"/>
      <c r="BH131" s="278"/>
      <c r="BI131" s="278"/>
      <c r="BJ131" s="278"/>
      <c r="BK131" s="278"/>
      <c r="BL131" s="278"/>
      <c r="BM131" s="278"/>
      <c r="BN131" s="278"/>
      <c r="BO131" s="278"/>
      <c r="BP131" s="278"/>
      <c r="BQ131" s="278"/>
      <c r="BR131" s="278"/>
      <c r="BS131" s="278"/>
      <c r="BT131" s="278"/>
      <c r="BU131" s="278"/>
      <c r="BV131" s="278"/>
      <c r="BW131" s="278"/>
      <c r="BX131" s="278"/>
      <c r="BY131" s="278"/>
      <c r="BZ131" s="278"/>
      <c r="CA131" s="278"/>
      <c r="CB131" s="278"/>
      <c r="CC131" s="278"/>
      <c r="CD131" s="278"/>
      <c r="CE131" s="278"/>
      <c r="CF131" s="278"/>
      <c r="CG131" s="278"/>
      <c r="CH131" s="278"/>
      <c r="CI131" s="278"/>
      <c r="CJ131" s="278"/>
      <c r="CK131" s="278"/>
      <c r="CL131" s="278"/>
      <c r="CM131" s="278"/>
      <c r="CN131" s="278"/>
      <c r="CO131" s="278"/>
      <c r="CP131" s="278"/>
      <c r="CQ131" s="278"/>
      <c r="CR131" s="278"/>
      <c r="CS131" s="278"/>
      <c r="CT131" s="278"/>
      <c r="CU131" s="278"/>
      <c r="CV131" s="278"/>
    </row>
    <row r="132" spans="1:100" s="231" customFormat="1" ht="15.75">
      <c r="A132" s="271"/>
      <c r="B132" s="267"/>
      <c r="C132" s="222"/>
      <c r="D132" s="222"/>
      <c r="E132" s="222"/>
      <c r="F132" s="224">
        <f>IF(F131="Use Local Value","Enter Local Value","")</f>
      </c>
      <c r="G132" s="763"/>
      <c r="H132" s="224">
        <f>IF(H131="Use Local Value","Enter Local Value","")</f>
      </c>
      <c r="I132" s="763"/>
      <c r="J132" s="224">
        <f>IF(J131="Use Local Value","Enter Local Value","")</f>
      </c>
      <c r="K132" s="225"/>
      <c r="L132" s="224">
        <f>IF(L131="Use Local Value","Enter Local Value","")</f>
      </c>
      <c r="M132" s="226"/>
      <c r="N132" s="224">
        <f>IF(N131="Use Local Value","Enter Local Value","")</f>
      </c>
      <c r="O132" s="226"/>
      <c r="P132" s="224">
        <f>IF(P131="Use Local Value","Enter Local Value","")</f>
      </c>
      <c r="Q132" s="226"/>
      <c r="R132" s="222"/>
      <c r="S132" s="224">
        <f>IF(S131="Use Local Value","Enter Local Value","")</f>
      </c>
      <c r="T132" s="304"/>
      <c r="U132" s="222"/>
      <c r="V132" s="222"/>
      <c r="W132" s="245"/>
      <c r="X132" s="245"/>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247"/>
      <c r="BH132" s="247"/>
      <c r="BI132" s="246"/>
      <c r="BJ132" s="246"/>
      <c r="BK132" s="246"/>
      <c r="BL132" s="246"/>
      <c r="BM132" s="246"/>
      <c r="BN132" s="246"/>
      <c r="BO132" s="246"/>
      <c r="BP132" s="246"/>
      <c r="BQ132" s="246"/>
      <c r="BR132" s="246"/>
      <c r="BS132" s="246"/>
      <c r="BT132" s="246"/>
      <c r="BU132" s="246"/>
      <c r="BV132" s="246"/>
      <c r="BW132" s="246"/>
      <c r="BX132" s="246"/>
      <c r="BY132" s="246"/>
      <c r="BZ132" s="246"/>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row>
    <row r="133" spans="1:100" s="248" customFormat="1" ht="17.25" customHeight="1" thickBot="1">
      <c r="A133" s="272"/>
      <c r="B133" s="268"/>
      <c r="C133" s="249"/>
      <c r="D133" s="249"/>
      <c r="E133" s="249"/>
      <c r="F133" s="249"/>
      <c r="G133" s="249"/>
      <c r="H133" s="249"/>
      <c r="I133" s="249"/>
      <c r="J133" s="250"/>
      <c r="K133" s="251"/>
      <c r="L133" s="250"/>
      <c r="M133" s="252"/>
      <c r="N133" s="250"/>
      <c r="O133" s="252"/>
      <c r="P133" s="250"/>
      <c r="Q133" s="252"/>
      <c r="R133" s="249"/>
      <c r="S133" s="250"/>
      <c r="T133" s="305"/>
      <c r="U133" s="249"/>
      <c r="V133" s="249"/>
      <c r="W133" s="249"/>
      <c r="X133" s="276"/>
      <c r="Y133" s="283"/>
      <c r="Z133" s="283"/>
      <c r="AA133" s="283"/>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c r="AW133" s="283"/>
      <c r="AX133" s="283"/>
      <c r="AY133" s="283"/>
      <c r="AZ133" s="283"/>
      <c r="BA133" s="283"/>
      <c r="BB133" s="283"/>
      <c r="BC133" s="283"/>
      <c r="BD133" s="283"/>
      <c r="BE133" s="283"/>
      <c r="BF133" s="283"/>
      <c r="BG133" s="284"/>
      <c r="BH133" s="284"/>
      <c r="BI133" s="283"/>
      <c r="BJ133" s="283"/>
      <c r="BK133" s="283"/>
      <c r="BL133" s="283"/>
      <c r="BM133" s="283"/>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row>
    <row r="134" spans="1:100" s="253" customFormat="1" ht="15.75">
      <c r="A134" s="270" t="s">
        <v>30</v>
      </c>
      <c r="B134" s="266" t="s">
        <v>380</v>
      </c>
      <c r="C134" s="802">
        <f>IF(A134="No","",1-'RF model'!$C$14)</f>
      </c>
      <c r="D134" s="254"/>
      <c r="E134" s="255">
        <f>IF(A134="No","",0.6)</f>
      </c>
      <c r="F134" s="762" t="s">
        <v>17</v>
      </c>
      <c r="G134" s="256">
        <f>IF(A134="No","",IF(F134="Use Default",13.3*(VLOOKUP('Start Page'!$G$4,'RF Workings'!$E$3:$G$13,2)/'RF Workings'!$F$7),""))</f>
      </c>
      <c r="H134" s="762" t="s">
        <v>17</v>
      </c>
      <c r="I134" s="256">
        <f>IF(A134="No","",IF(H134="Use Default",0.7*(VLOOKUP('Start Page'!$G$4,'RF Workings'!$E$3:$G$13,2)/'RF Workings'!$F$7),""))</f>
      </c>
      <c r="J134" s="257" t="s">
        <v>17</v>
      </c>
      <c r="K134" s="801">
        <f>IF(A134="No","",IF(J134="Use Default",IF($F$1="Non-PTE",$AB$3,$AA$3),""))</f>
      </c>
      <c r="L134" s="258" t="s">
        <v>17</v>
      </c>
      <c r="M134" s="259">
        <f>IF(A134="No","",IF(L134="Use Default",IF($F$1="Non-PTE",$AB$4,$AA$4),""))</f>
      </c>
      <c r="N134" s="258" t="s">
        <v>17</v>
      </c>
      <c r="O134" s="800">
        <f>IF(A134="No","",IF(N134="Use Default",IF($F$1="Non-PTE",$AB$5,$AA$5),""))</f>
      </c>
      <c r="P134" s="258" t="s">
        <v>17</v>
      </c>
      <c r="Q134" s="801">
        <f>IF(A134="No","",(IF(P134="Use Default",IF($F$1="Non-PTE",$AB$6,$AA$6),"")))</f>
      </c>
      <c r="R134" s="260"/>
      <c r="S134" s="258" t="s">
        <v>17</v>
      </c>
      <c r="T134" s="303">
        <f>IF(A134="No","",IF(S134="Use Default",IF('MCC Model '!$F$1="Non-PTE",$AB$7,$AA$7),""))</f>
      </c>
      <c r="U134" s="255">
        <f>IF(A134="No","",0.66)</f>
      </c>
      <c r="V134" s="433">
        <f>IF(A134="Yes",(IF(BA134&lt;0,0,BA134)),"")</f>
      </c>
      <c r="W134" s="434">
        <f>IF(A134="Yes",V134*C134*D134,"")</f>
      </c>
      <c r="X134" s="275"/>
      <c r="Y134" s="278"/>
      <c r="Z134" s="278"/>
      <c r="AA134" s="278">
        <f>IF(F124="Non-PTE",AB131,AA131)</f>
        <v>6</v>
      </c>
      <c r="AB134" s="279" t="e">
        <f>IF(AND(N134="Use Default",P134="Use Default"),Q134/O134,IF(AND(N134="Use Local Value",P134="Use Default"),Q134/O135,IF(AND(N134="Use Default",P134="Use Local Value"),Q135/O134,IF(AND(N134="Use Local Value",P134="Use Local Value"),Q135/O135))))*IF($M134="",$M135,$M134)/IF($Q134="",Q135,$Q134)</f>
        <v>#VALUE!</v>
      </c>
      <c r="AC134" s="279" t="e">
        <f>AA134*AB134</f>
        <v>#VALUE!</v>
      </c>
      <c r="AD134" s="279" t="e">
        <f>1/IF(Q134="",Q135,Q134)</f>
        <v>#DIV/0!</v>
      </c>
      <c r="AE134" s="279" t="e">
        <f>AA134*((AC134+AD134)/AC134)^E134</f>
        <v>#VALUE!</v>
      </c>
      <c r="AF134" s="279" t="e">
        <f>AA134/((IF(K134="",K135,K134)/(IF(Q134="",Q135,Q134)*2)))</f>
        <v>#DIV/0!</v>
      </c>
      <c r="AG134" s="279" t="e">
        <f>AF134/2</f>
        <v>#DIV/0!</v>
      </c>
      <c r="AH134" s="279" t="e">
        <f>AE134/((IF(K134="",K135,K134)/(IF(Q134="",Q135,Q134)*2)))</f>
        <v>#VALUE!</v>
      </c>
      <c r="AI134" s="279" t="e">
        <f>AH134/2</f>
        <v>#VALUE!</v>
      </c>
      <c r="AJ134" s="279" t="e">
        <f>AI134-AG134</f>
        <v>#VALUE!</v>
      </c>
      <c r="AK134" s="280" t="e">
        <f>AJ134*IF(F134="Use Default",G134,G135)</f>
        <v>#VALUE!</v>
      </c>
      <c r="AL134" s="279" t="e">
        <f>AA134*IF(K134="",K135,K134)/((IF(K134="",K135,K134)/(IF(Q134="",Q135,Q134)*2)))</f>
        <v>#DIV/0!</v>
      </c>
      <c r="AM134" s="278" t="e">
        <f>AL134/2</f>
        <v>#DIV/0!</v>
      </c>
      <c r="AN134" s="279" t="e">
        <f>AE134*IF(K134="",K135,K134)/((IF(K134="",K135,K134)/(IF(Q134="",Q135,Q134)*2)))</f>
        <v>#VALUE!</v>
      </c>
      <c r="AO134" s="278" t="e">
        <f>AN134/2</f>
        <v>#VALUE!</v>
      </c>
      <c r="AP134" s="278" t="e">
        <f>AO134-AM134</f>
        <v>#VALUE!</v>
      </c>
      <c r="AQ134" s="280" t="e">
        <f>AP134*IF(H134="Use Default",I134,I135)</f>
        <v>#VALUE!</v>
      </c>
      <c r="AR134" s="280" t="e">
        <f>AQ134+AK134</f>
        <v>#VALUE!</v>
      </c>
      <c r="AS134" s="281" t="e">
        <f>(AE134-AA134)/AA134</f>
        <v>#VALUE!</v>
      </c>
      <c r="AT134" s="281" t="e">
        <f>AS134*U134</f>
        <v>#VALUE!</v>
      </c>
      <c r="AU134" s="282" t="e">
        <f>AC134*IF(Q134="",Q135,Q134)*2</f>
        <v>#VALUE!</v>
      </c>
      <c r="AV134" s="278" t="e">
        <f>AU134/2</f>
        <v>#VALUE!</v>
      </c>
      <c r="AW134" s="282" t="e">
        <f>AV134*IF(T134="",T135,T134)</f>
        <v>#VALUE!</v>
      </c>
      <c r="AX134" s="279" t="e">
        <f>AW134*AT134</f>
        <v>#VALUE!</v>
      </c>
      <c r="AY134" s="280" t="e">
        <f>AX134*R134</f>
        <v>#VALUE!</v>
      </c>
      <c r="AZ134" s="280" t="e">
        <f>AX134*'AC model'!$D$18</f>
        <v>#VALUE!</v>
      </c>
      <c r="BA134" s="280" t="e">
        <f>AR134-AY134+AZ134</f>
        <v>#VALUE!</v>
      </c>
      <c r="BB134" s="278"/>
      <c r="BC134" s="278"/>
      <c r="BD134" s="278"/>
      <c r="BE134" s="278"/>
      <c r="BF134" s="278"/>
      <c r="BG134" s="278"/>
      <c r="BH134" s="278"/>
      <c r="BI134" s="278"/>
      <c r="BJ134" s="278"/>
      <c r="BK134" s="278"/>
      <c r="BL134" s="278"/>
      <c r="BM134" s="278"/>
      <c r="BN134" s="278"/>
      <c r="BO134" s="278"/>
      <c r="BP134" s="278"/>
      <c r="BQ134" s="278"/>
      <c r="BR134" s="278"/>
      <c r="BS134" s="278"/>
      <c r="BT134" s="278"/>
      <c r="BU134" s="278"/>
      <c r="BV134" s="278"/>
      <c r="BW134" s="278"/>
      <c r="BX134" s="278"/>
      <c r="BY134" s="278"/>
      <c r="BZ134" s="278"/>
      <c r="CA134" s="278"/>
      <c r="CB134" s="278"/>
      <c r="CC134" s="278"/>
      <c r="CD134" s="278"/>
      <c r="CE134" s="278"/>
      <c r="CF134" s="278"/>
      <c r="CG134" s="278"/>
      <c r="CH134" s="278"/>
      <c r="CI134" s="278"/>
      <c r="CJ134" s="278"/>
      <c r="CK134" s="278"/>
      <c r="CL134" s="278"/>
      <c r="CM134" s="278"/>
      <c r="CN134" s="278"/>
      <c r="CO134" s="278"/>
      <c r="CP134" s="278"/>
      <c r="CQ134" s="278"/>
      <c r="CR134" s="278"/>
      <c r="CS134" s="278"/>
      <c r="CT134" s="278"/>
      <c r="CU134" s="278"/>
      <c r="CV134" s="278"/>
    </row>
    <row r="135" spans="1:100" s="231" customFormat="1" ht="15.75">
      <c r="A135" s="271"/>
      <c r="B135" s="267"/>
      <c r="C135" s="222"/>
      <c r="D135" s="222"/>
      <c r="E135" s="222"/>
      <c r="F135" s="224">
        <f>IF(F134="Use Local Value","Enter Local Value","")</f>
      </c>
      <c r="G135" s="763"/>
      <c r="H135" s="224">
        <f>IF(H134="Use Local Value","Enter Local Value","")</f>
      </c>
      <c r="I135" s="763"/>
      <c r="J135" s="224">
        <f>IF(J134="Use Local Value","Enter Local Value","")</f>
      </c>
      <c r="K135" s="225"/>
      <c r="L135" s="224">
        <f>IF(L134="Use Local Value","Enter Local Value","")</f>
      </c>
      <c r="M135" s="226"/>
      <c r="N135" s="224">
        <f>IF(N134="Use Local Value","Enter Local Value","")</f>
      </c>
      <c r="O135" s="226"/>
      <c r="P135" s="224">
        <f>IF(P134="Use Local Value","Enter Local Value","")</f>
      </c>
      <c r="Q135" s="226"/>
      <c r="R135" s="222"/>
      <c r="S135" s="224">
        <f>IF(S134="Use Local Value","Enter Local Value","")</f>
      </c>
      <c r="T135" s="304"/>
      <c r="U135" s="222"/>
      <c r="V135" s="222"/>
      <c r="W135" s="245"/>
      <c r="X135" s="245"/>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7"/>
      <c r="BH135" s="247"/>
      <c r="BI135" s="246"/>
      <c r="BJ135" s="246"/>
      <c r="BK135" s="246"/>
      <c r="BL135" s="246"/>
      <c r="BM135" s="246"/>
      <c r="BN135" s="246"/>
      <c r="BO135" s="246"/>
      <c r="BP135" s="246"/>
      <c r="BQ135" s="246"/>
      <c r="BR135" s="246"/>
      <c r="BS135" s="246"/>
      <c r="BT135" s="246"/>
      <c r="BU135" s="246"/>
      <c r="BV135" s="246"/>
      <c r="BW135" s="246"/>
      <c r="BX135" s="246"/>
      <c r="BY135" s="246"/>
      <c r="BZ135" s="246"/>
      <c r="CA135" s="246"/>
      <c r="CB135" s="246"/>
      <c r="CC135" s="246"/>
      <c r="CD135" s="246"/>
      <c r="CE135" s="246"/>
      <c r="CF135" s="246"/>
      <c r="CG135" s="246"/>
      <c r="CH135" s="246"/>
      <c r="CI135" s="246"/>
      <c r="CJ135" s="246"/>
      <c r="CK135" s="246"/>
      <c r="CL135" s="246"/>
      <c r="CM135" s="246"/>
      <c r="CN135" s="246"/>
      <c r="CO135" s="246"/>
      <c r="CP135" s="246"/>
      <c r="CQ135" s="246"/>
      <c r="CR135" s="246"/>
      <c r="CS135" s="246"/>
      <c r="CT135" s="246"/>
      <c r="CU135" s="246"/>
      <c r="CV135" s="246"/>
    </row>
    <row r="136" spans="1:100" s="248" customFormat="1" ht="17.25" customHeight="1" thickBot="1">
      <c r="A136" s="272"/>
      <c r="B136" s="268"/>
      <c r="C136" s="249"/>
      <c r="D136" s="249"/>
      <c r="E136" s="249"/>
      <c r="F136" s="249"/>
      <c r="G136" s="249"/>
      <c r="H136" s="249"/>
      <c r="I136" s="249"/>
      <c r="J136" s="250"/>
      <c r="K136" s="251"/>
      <c r="L136" s="250"/>
      <c r="M136" s="252"/>
      <c r="N136" s="250"/>
      <c r="O136" s="252"/>
      <c r="P136" s="250"/>
      <c r="Q136" s="252"/>
      <c r="R136" s="249"/>
      <c r="S136" s="250"/>
      <c r="T136" s="305"/>
      <c r="U136" s="249"/>
      <c r="V136" s="249"/>
      <c r="W136" s="249"/>
      <c r="X136" s="276"/>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c r="AW136" s="283"/>
      <c r="AX136" s="283"/>
      <c r="AY136" s="283"/>
      <c r="AZ136" s="283"/>
      <c r="BA136" s="283"/>
      <c r="BB136" s="283"/>
      <c r="BC136" s="283"/>
      <c r="BD136" s="283"/>
      <c r="BE136" s="283"/>
      <c r="BF136" s="283"/>
      <c r="BG136" s="284"/>
      <c r="BH136" s="284"/>
      <c r="BI136" s="283"/>
      <c r="BJ136" s="283"/>
      <c r="BK136" s="283"/>
      <c r="BL136" s="283"/>
      <c r="BM136" s="283"/>
      <c r="BN136" s="283"/>
      <c r="BO136" s="283"/>
      <c r="BP136" s="283"/>
      <c r="BQ136" s="283"/>
      <c r="BR136" s="283"/>
      <c r="BS136" s="283"/>
      <c r="BT136" s="283"/>
      <c r="BU136" s="283"/>
      <c r="BV136" s="283"/>
      <c r="BW136" s="283"/>
      <c r="BX136" s="283"/>
      <c r="BY136" s="283"/>
      <c r="BZ136" s="283"/>
      <c r="CA136" s="283"/>
      <c r="CB136" s="283"/>
      <c r="CC136" s="283"/>
      <c r="CD136" s="283"/>
      <c r="CE136" s="283"/>
      <c r="CF136" s="283"/>
      <c r="CG136" s="283"/>
      <c r="CH136" s="283"/>
      <c r="CI136" s="283"/>
      <c r="CJ136" s="283"/>
      <c r="CK136" s="283"/>
      <c r="CL136" s="283"/>
      <c r="CM136" s="283"/>
      <c r="CN136" s="283"/>
      <c r="CO136" s="283"/>
      <c r="CP136" s="283"/>
      <c r="CQ136" s="283"/>
      <c r="CR136" s="283"/>
      <c r="CS136" s="283"/>
      <c r="CT136" s="283"/>
      <c r="CU136" s="283"/>
      <c r="CV136" s="283"/>
    </row>
    <row r="137" spans="1:100" s="253" customFormat="1" ht="15.75">
      <c r="A137" s="270" t="s">
        <v>30</v>
      </c>
      <c r="B137" s="266" t="s">
        <v>380</v>
      </c>
      <c r="C137" s="802">
        <f>IF(A137="No","",1-'RF model'!$C$14)</f>
      </c>
      <c r="D137" s="254"/>
      <c r="E137" s="255">
        <f>IF(A137="No","",0.6)</f>
      </c>
      <c r="F137" s="762" t="s">
        <v>17</v>
      </c>
      <c r="G137" s="256">
        <f>IF(A137="No","",IF(F137="Use Default",13.3*(VLOOKUP('Start Page'!$G$4,'RF Workings'!$E$3:$G$13,2)/'RF Workings'!$F$7),""))</f>
      </c>
      <c r="H137" s="762" t="s">
        <v>17</v>
      </c>
      <c r="I137" s="256">
        <f>IF(A137="No","",IF(H137="Use Default",0.7*(VLOOKUP('Start Page'!$G$4,'RF Workings'!$E$3:$G$13,2)/'RF Workings'!$F$7),""))</f>
      </c>
      <c r="J137" s="257" t="s">
        <v>17</v>
      </c>
      <c r="K137" s="801">
        <f>IF(A137="No","",IF(J137="Use Default",IF($F$1="Non-PTE",$AB$3,$AA$3),""))</f>
      </c>
      <c r="L137" s="258" t="s">
        <v>17</v>
      </c>
      <c r="M137" s="259">
        <f>IF(A137="No","",IF(L137="Use Default",IF($F$1="Non-PTE",$AB$4,$AA$4),""))</f>
      </c>
      <c r="N137" s="258" t="s">
        <v>17</v>
      </c>
      <c r="O137" s="800">
        <f>IF(A137="No","",IF(N137="Use Default",IF($F$1="Non-PTE",$AB$5,$AA$5),""))</f>
      </c>
      <c r="P137" s="258" t="s">
        <v>17</v>
      </c>
      <c r="Q137" s="801">
        <f>IF(A137="No","",(IF(P137="Use Default",IF($F$1="Non-PTE",$AB$6,$AA$6),"")))</f>
      </c>
      <c r="R137" s="260"/>
      <c r="S137" s="258" t="s">
        <v>17</v>
      </c>
      <c r="T137" s="303">
        <f>IF(A137="No","",IF(S137="Use Default",IF('MCC Model '!$F$1="Non-PTE",$AB$7,$AA$7),""))</f>
      </c>
      <c r="U137" s="255">
        <f>IF(A137="No","",0.66)</f>
      </c>
      <c r="V137" s="433">
        <f>IF(A137="Yes",(IF(BA137&lt;0,0,BA137)),"")</f>
      </c>
      <c r="W137" s="434">
        <f>IF(A137="Yes",V137*C137*D137,"")</f>
      </c>
      <c r="X137" s="275"/>
      <c r="Y137" s="278"/>
      <c r="Z137" s="278"/>
      <c r="AA137" s="278">
        <f>IF(F127="Non-PTE",AB134,AA134)</f>
        <v>6</v>
      </c>
      <c r="AB137" s="279" t="e">
        <f>IF(AND(N137="Use Default",P137="Use Default"),Q137/O137,IF(AND(N137="Use Local Value",P137="Use Default"),Q137/O138,IF(AND(N137="Use Default",P137="Use Local Value"),Q138/O137,IF(AND(N137="Use Local Value",P137="Use Local Value"),Q138/O138))))*IF($M137="",$M138,$M137)/IF($Q137="",Q138,$Q137)</f>
        <v>#VALUE!</v>
      </c>
      <c r="AC137" s="279" t="e">
        <f>AA137*AB137</f>
        <v>#VALUE!</v>
      </c>
      <c r="AD137" s="279" t="e">
        <f>1/IF(Q137="",Q138,Q137)</f>
        <v>#DIV/0!</v>
      </c>
      <c r="AE137" s="279" t="e">
        <f>AA137*((AC137+AD137)/AC137)^E137</f>
        <v>#VALUE!</v>
      </c>
      <c r="AF137" s="279" t="e">
        <f>AA137/((IF(K137="",K138,K137)/(IF(Q137="",Q138,Q137)*2)))</f>
        <v>#DIV/0!</v>
      </c>
      <c r="AG137" s="279" t="e">
        <f>AF137/2</f>
        <v>#DIV/0!</v>
      </c>
      <c r="AH137" s="279" t="e">
        <f>AE137/((IF(K137="",K138,K137)/(IF(Q137="",Q138,Q137)*2)))</f>
        <v>#VALUE!</v>
      </c>
      <c r="AI137" s="279" t="e">
        <f>AH137/2</f>
        <v>#VALUE!</v>
      </c>
      <c r="AJ137" s="279" t="e">
        <f>AI137-AG137</f>
        <v>#VALUE!</v>
      </c>
      <c r="AK137" s="280" t="e">
        <f>AJ137*IF(F137="Use Default",G137,G138)</f>
        <v>#VALUE!</v>
      </c>
      <c r="AL137" s="279" t="e">
        <f>AA137*IF(K137="",K138,K137)/((IF(K137="",K138,K137)/(IF(Q137="",Q138,Q137)*2)))</f>
        <v>#DIV/0!</v>
      </c>
      <c r="AM137" s="278" t="e">
        <f>AL137/2</f>
        <v>#DIV/0!</v>
      </c>
      <c r="AN137" s="279" t="e">
        <f>AE137*IF(K137="",K138,K137)/((IF(K137="",K138,K137)/(IF(Q137="",Q138,Q137)*2)))</f>
        <v>#VALUE!</v>
      </c>
      <c r="AO137" s="278" t="e">
        <f>AN137/2</f>
        <v>#VALUE!</v>
      </c>
      <c r="AP137" s="278" t="e">
        <f>AO137-AM137</f>
        <v>#VALUE!</v>
      </c>
      <c r="AQ137" s="280" t="e">
        <f>AP137*IF(H137="Use Default",I137,I138)</f>
        <v>#VALUE!</v>
      </c>
      <c r="AR137" s="280" t="e">
        <f>AQ137+AK137</f>
        <v>#VALUE!</v>
      </c>
      <c r="AS137" s="281" t="e">
        <f>(AE137-AA137)/AA137</f>
        <v>#VALUE!</v>
      </c>
      <c r="AT137" s="281" t="e">
        <f>AS137*U137</f>
        <v>#VALUE!</v>
      </c>
      <c r="AU137" s="282" t="e">
        <f>AC137*IF(Q137="",Q138,Q137)*2</f>
        <v>#VALUE!</v>
      </c>
      <c r="AV137" s="278" t="e">
        <f>AU137/2</f>
        <v>#VALUE!</v>
      </c>
      <c r="AW137" s="282" t="e">
        <f>AV137*IF(T137="",T138,T137)</f>
        <v>#VALUE!</v>
      </c>
      <c r="AX137" s="279" t="e">
        <f>AW137*AT137</f>
        <v>#VALUE!</v>
      </c>
      <c r="AY137" s="280" t="e">
        <f>AX137*R137</f>
        <v>#VALUE!</v>
      </c>
      <c r="AZ137" s="280" t="e">
        <f>AX137*'AC model'!$D$18</f>
        <v>#VALUE!</v>
      </c>
      <c r="BA137" s="280" t="e">
        <f>AR137-AY137+AZ137</f>
        <v>#VALUE!</v>
      </c>
      <c r="BB137" s="278"/>
      <c r="BC137" s="278"/>
      <c r="BD137" s="278"/>
      <c r="BE137" s="278"/>
      <c r="BF137" s="278"/>
      <c r="BG137" s="278"/>
      <c r="BH137" s="278"/>
      <c r="BI137" s="278"/>
      <c r="BJ137" s="278"/>
      <c r="BK137" s="278"/>
      <c r="BL137" s="278"/>
      <c r="BM137" s="278"/>
      <c r="BN137" s="278"/>
      <c r="BO137" s="278"/>
      <c r="BP137" s="278"/>
      <c r="BQ137" s="278"/>
      <c r="BR137" s="278"/>
      <c r="BS137" s="278"/>
      <c r="BT137" s="278"/>
      <c r="BU137" s="278"/>
      <c r="BV137" s="278"/>
      <c r="BW137" s="278"/>
      <c r="BX137" s="278"/>
      <c r="BY137" s="278"/>
      <c r="BZ137" s="278"/>
      <c r="CA137" s="278"/>
      <c r="CB137" s="278"/>
      <c r="CC137" s="278"/>
      <c r="CD137" s="278"/>
      <c r="CE137" s="278"/>
      <c r="CF137" s="278"/>
      <c r="CG137" s="278"/>
      <c r="CH137" s="278"/>
      <c r="CI137" s="278"/>
      <c r="CJ137" s="278"/>
      <c r="CK137" s="278"/>
      <c r="CL137" s="278"/>
      <c r="CM137" s="278"/>
      <c r="CN137" s="278"/>
      <c r="CO137" s="278"/>
      <c r="CP137" s="278"/>
      <c r="CQ137" s="278"/>
      <c r="CR137" s="278"/>
      <c r="CS137" s="278"/>
      <c r="CT137" s="278"/>
      <c r="CU137" s="278"/>
      <c r="CV137" s="278"/>
    </row>
    <row r="138" spans="1:100" s="231" customFormat="1" ht="15.75">
      <c r="A138" s="271"/>
      <c r="B138" s="267"/>
      <c r="C138" s="222"/>
      <c r="D138" s="222"/>
      <c r="E138" s="222"/>
      <c r="F138" s="224">
        <f>IF(F137="Use Local Value","Enter Local Value","")</f>
      </c>
      <c r="G138" s="763"/>
      <c r="H138" s="224">
        <f>IF(H137="Use Local Value","Enter Local Value","")</f>
      </c>
      <c r="I138" s="763"/>
      <c r="J138" s="224">
        <f>IF(J137="Use Local Value","Enter Local Value","")</f>
      </c>
      <c r="K138" s="225"/>
      <c r="L138" s="224">
        <f>IF(L137="Use Local Value","Enter Local Value","")</f>
      </c>
      <c r="M138" s="226"/>
      <c r="N138" s="224">
        <f>IF(N137="Use Local Value","Enter Local Value","")</f>
      </c>
      <c r="O138" s="226"/>
      <c r="P138" s="224">
        <f>IF(P137="Use Local Value","Enter Local Value","")</f>
      </c>
      <c r="Q138" s="226"/>
      <c r="R138" s="222"/>
      <c r="S138" s="224">
        <f>IF(S137="Use Local Value","Enter Local Value","")</f>
      </c>
      <c r="T138" s="304"/>
      <c r="U138" s="222"/>
      <c r="V138" s="222"/>
      <c r="W138" s="245"/>
      <c r="X138" s="245"/>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7"/>
      <c r="BH138" s="247"/>
      <c r="BI138" s="246"/>
      <c r="BJ138" s="246"/>
      <c r="BK138" s="246"/>
      <c r="BL138" s="246"/>
      <c r="BM138" s="246"/>
      <c r="BN138" s="246"/>
      <c r="BO138" s="246"/>
      <c r="BP138" s="246"/>
      <c r="BQ138" s="246"/>
      <c r="BR138" s="246"/>
      <c r="BS138" s="246"/>
      <c r="BT138" s="246"/>
      <c r="BU138" s="246"/>
      <c r="BV138" s="246"/>
      <c r="BW138" s="246"/>
      <c r="BX138" s="246"/>
      <c r="BY138" s="246"/>
      <c r="BZ138" s="246"/>
      <c r="CA138" s="246"/>
      <c r="CB138" s="246"/>
      <c r="CC138" s="246"/>
      <c r="CD138" s="246"/>
      <c r="CE138" s="246"/>
      <c r="CF138" s="246"/>
      <c r="CG138" s="246"/>
      <c r="CH138" s="246"/>
      <c r="CI138" s="246"/>
      <c r="CJ138" s="246"/>
      <c r="CK138" s="246"/>
      <c r="CL138" s="246"/>
      <c r="CM138" s="246"/>
      <c r="CN138" s="246"/>
      <c r="CO138" s="246"/>
      <c r="CP138" s="246"/>
      <c r="CQ138" s="246"/>
      <c r="CR138" s="246"/>
      <c r="CS138" s="246"/>
      <c r="CT138" s="246"/>
      <c r="CU138" s="246"/>
      <c r="CV138" s="246"/>
    </row>
    <row r="139" spans="1:100" s="248" customFormat="1" ht="17.25" customHeight="1" thickBot="1">
      <c r="A139" s="272"/>
      <c r="B139" s="268"/>
      <c r="C139" s="249"/>
      <c r="D139" s="249"/>
      <c r="E139" s="249"/>
      <c r="F139" s="249"/>
      <c r="G139" s="249"/>
      <c r="H139" s="249"/>
      <c r="I139" s="249"/>
      <c r="J139" s="250"/>
      <c r="K139" s="251"/>
      <c r="L139" s="250"/>
      <c r="M139" s="252"/>
      <c r="N139" s="250"/>
      <c r="O139" s="252"/>
      <c r="P139" s="250"/>
      <c r="Q139" s="252"/>
      <c r="R139" s="249"/>
      <c r="S139" s="250"/>
      <c r="T139" s="305"/>
      <c r="U139" s="249"/>
      <c r="V139" s="249"/>
      <c r="W139" s="249"/>
      <c r="X139" s="276"/>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283"/>
      <c r="AY139" s="283"/>
      <c r="AZ139" s="283"/>
      <c r="BA139" s="283"/>
      <c r="BB139" s="283"/>
      <c r="BC139" s="283"/>
      <c r="BD139" s="283"/>
      <c r="BE139" s="283"/>
      <c r="BF139" s="283"/>
      <c r="BG139" s="284"/>
      <c r="BH139" s="284"/>
      <c r="BI139" s="283"/>
      <c r="BJ139" s="283"/>
      <c r="BK139" s="283"/>
      <c r="BL139" s="283"/>
      <c r="BM139" s="283"/>
      <c r="BN139" s="283"/>
      <c r="BO139" s="283"/>
      <c r="BP139" s="283"/>
      <c r="BQ139" s="283"/>
      <c r="BR139" s="283"/>
      <c r="BS139" s="283"/>
      <c r="BT139" s="283"/>
      <c r="BU139" s="283"/>
      <c r="BV139" s="283"/>
      <c r="BW139" s="283"/>
      <c r="BX139" s="283"/>
      <c r="BY139" s="283"/>
      <c r="BZ139" s="283"/>
      <c r="CA139" s="283"/>
      <c r="CB139" s="283"/>
      <c r="CC139" s="283"/>
      <c r="CD139" s="283"/>
      <c r="CE139" s="283"/>
      <c r="CF139" s="283"/>
      <c r="CG139" s="283"/>
      <c r="CH139" s="283"/>
      <c r="CI139" s="283"/>
      <c r="CJ139" s="283"/>
      <c r="CK139" s="283"/>
      <c r="CL139" s="283"/>
      <c r="CM139" s="283"/>
      <c r="CN139" s="283"/>
      <c r="CO139" s="283"/>
      <c r="CP139" s="283"/>
      <c r="CQ139" s="283"/>
      <c r="CR139" s="283"/>
      <c r="CS139" s="283"/>
      <c r="CT139" s="283"/>
      <c r="CU139" s="283"/>
      <c r="CV139" s="283"/>
    </row>
    <row r="140" spans="1:100" s="253" customFormat="1" ht="15.75">
      <c r="A140" s="270" t="s">
        <v>30</v>
      </c>
      <c r="B140" s="266" t="s">
        <v>380</v>
      </c>
      <c r="C140" s="802">
        <f>IF(A140="No","",1-'RF model'!$C$14)</f>
      </c>
      <c r="D140" s="254"/>
      <c r="E140" s="255">
        <f>IF(A140="No","",0.6)</f>
      </c>
      <c r="F140" s="762" t="s">
        <v>17</v>
      </c>
      <c r="G140" s="256">
        <f>IF(A140="No","",IF(F140="Use Default",13.3*(VLOOKUP('Start Page'!$G$4,'RF Workings'!$E$3:$G$13,2)/'RF Workings'!$F$7),""))</f>
      </c>
      <c r="H140" s="762" t="s">
        <v>17</v>
      </c>
      <c r="I140" s="256">
        <f>IF(A140="No","",IF(H140="Use Default",0.7*(VLOOKUP('Start Page'!$G$4,'RF Workings'!$E$3:$G$13,2)/'RF Workings'!$F$7),""))</f>
      </c>
      <c r="J140" s="257" t="s">
        <v>17</v>
      </c>
      <c r="K140" s="801">
        <f>IF(A140="No","",IF(J140="Use Default",IF($F$1="Non-PTE",$AB$3,$AA$3),""))</f>
      </c>
      <c r="L140" s="258" t="s">
        <v>17</v>
      </c>
      <c r="M140" s="259">
        <f>IF(A140="No","",IF(L140="Use Default",IF($F$1="Non-PTE",$AB$4,$AA$4),""))</f>
      </c>
      <c r="N140" s="258" t="s">
        <v>17</v>
      </c>
      <c r="O140" s="800">
        <f>IF(A140="No","",IF(N140="Use Default",IF($F$1="Non-PTE",$AB$5,$AA$5),""))</f>
      </c>
      <c r="P140" s="258" t="s">
        <v>17</v>
      </c>
      <c r="Q140" s="801">
        <f>IF(A140="No","",(IF(P140="Use Default",IF($F$1="Non-PTE",$AB$6,$AA$6),"")))</f>
      </c>
      <c r="R140" s="260"/>
      <c r="S140" s="258" t="s">
        <v>17</v>
      </c>
      <c r="T140" s="303">
        <f>IF(A140="No","",IF(S140="Use Default",IF('MCC Model '!$F$1="Non-PTE",$AB$7,$AA$7),""))</f>
      </c>
      <c r="U140" s="255">
        <f>IF(A140="No","",0.66)</f>
      </c>
      <c r="V140" s="433">
        <f>IF(A140="Yes",(IF(BA140&lt;0,0,BA140)),"")</f>
      </c>
      <c r="W140" s="434">
        <f>IF(A140="Yes",V140*C140*D140,"")</f>
      </c>
      <c r="X140" s="275"/>
      <c r="Y140" s="278"/>
      <c r="Z140" s="278"/>
      <c r="AA140" s="278">
        <f>IF(F130="Non-PTE",AB137,AA137)</f>
        <v>6</v>
      </c>
      <c r="AB140" s="279" t="e">
        <f>IF(AND(N140="Use Default",P140="Use Default"),Q140/O140,IF(AND(N140="Use Local Value",P140="Use Default"),Q140/O141,IF(AND(N140="Use Default",P140="Use Local Value"),Q141/O140,IF(AND(N140="Use Local Value",P140="Use Local Value"),Q141/O141))))*IF($M140="",$M141,$M140)/IF($Q140="",Q141,$Q140)</f>
        <v>#VALUE!</v>
      </c>
      <c r="AC140" s="279" t="e">
        <f>AA140*AB140</f>
        <v>#VALUE!</v>
      </c>
      <c r="AD140" s="279" t="e">
        <f>1/IF(Q140="",Q141,Q140)</f>
        <v>#DIV/0!</v>
      </c>
      <c r="AE140" s="279" t="e">
        <f>AA140*((AC140+AD140)/AC140)^E140</f>
        <v>#VALUE!</v>
      </c>
      <c r="AF140" s="279" t="e">
        <f>AA140/((IF(K140="",K141,K140)/(IF(Q140="",Q141,Q140)*2)))</f>
        <v>#DIV/0!</v>
      </c>
      <c r="AG140" s="279" t="e">
        <f>AF140/2</f>
        <v>#DIV/0!</v>
      </c>
      <c r="AH140" s="279" t="e">
        <f>AE140/((IF(K140="",K141,K140)/(IF(Q140="",Q141,Q140)*2)))</f>
        <v>#VALUE!</v>
      </c>
      <c r="AI140" s="279" t="e">
        <f>AH140/2</f>
        <v>#VALUE!</v>
      </c>
      <c r="AJ140" s="279" t="e">
        <f>AI140-AG140</f>
        <v>#VALUE!</v>
      </c>
      <c r="AK140" s="280" t="e">
        <f>AJ140*IF(F140="Use Default",G140,G141)</f>
        <v>#VALUE!</v>
      </c>
      <c r="AL140" s="279" t="e">
        <f>AA140*IF(K140="",K141,K140)/((IF(K140="",K141,K140)/(IF(Q140="",Q141,Q140)*2)))</f>
        <v>#DIV/0!</v>
      </c>
      <c r="AM140" s="278" t="e">
        <f>AL140/2</f>
        <v>#DIV/0!</v>
      </c>
      <c r="AN140" s="279" t="e">
        <f>AE140*IF(K140="",K141,K140)/((IF(K140="",K141,K140)/(IF(Q140="",Q141,Q140)*2)))</f>
        <v>#VALUE!</v>
      </c>
      <c r="AO140" s="278" t="e">
        <f>AN140/2</f>
        <v>#VALUE!</v>
      </c>
      <c r="AP140" s="278" t="e">
        <f>AO140-AM140</f>
        <v>#VALUE!</v>
      </c>
      <c r="AQ140" s="280" t="e">
        <f>AP140*IF(H140="Use Default",I140,I141)</f>
        <v>#VALUE!</v>
      </c>
      <c r="AR140" s="280" t="e">
        <f>AQ140+AK140</f>
        <v>#VALUE!</v>
      </c>
      <c r="AS140" s="281" t="e">
        <f>(AE140-AA140)/AA140</f>
        <v>#VALUE!</v>
      </c>
      <c r="AT140" s="281" t="e">
        <f>AS140*U140</f>
        <v>#VALUE!</v>
      </c>
      <c r="AU140" s="282" t="e">
        <f>AC140*IF(Q140="",Q141,Q140)*2</f>
        <v>#VALUE!</v>
      </c>
      <c r="AV140" s="278" t="e">
        <f>AU140/2</f>
        <v>#VALUE!</v>
      </c>
      <c r="AW140" s="282" t="e">
        <f>AV140*IF(T140="",T141,T140)</f>
        <v>#VALUE!</v>
      </c>
      <c r="AX140" s="279" t="e">
        <f>AW140*AT140</f>
        <v>#VALUE!</v>
      </c>
      <c r="AY140" s="280" t="e">
        <f>AX140*R140</f>
        <v>#VALUE!</v>
      </c>
      <c r="AZ140" s="280" t="e">
        <f>AX140*'AC model'!$D$18</f>
        <v>#VALUE!</v>
      </c>
      <c r="BA140" s="280" t="e">
        <f>AR140-AY140+AZ140</f>
        <v>#VALUE!</v>
      </c>
      <c r="BB140" s="278"/>
      <c r="BC140" s="278"/>
      <c r="BD140" s="278"/>
      <c r="BE140" s="278"/>
      <c r="BF140" s="278"/>
      <c r="BG140" s="278"/>
      <c r="BH140" s="278"/>
      <c r="BI140" s="278"/>
      <c r="BJ140" s="278"/>
      <c r="BK140" s="278"/>
      <c r="BL140" s="278"/>
      <c r="BM140" s="278"/>
      <c r="BN140" s="278"/>
      <c r="BO140" s="278"/>
      <c r="BP140" s="278"/>
      <c r="BQ140" s="278"/>
      <c r="BR140" s="278"/>
      <c r="BS140" s="278"/>
      <c r="BT140" s="278"/>
      <c r="BU140" s="278"/>
      <c r="BV140" s="278"/>
      <c r="BW140" s="278"/>
      <c r="BX140" s="278"/>
      <c r="BY140" s="278"/>
      <c r="BZ140" s="278"/>
      <c r="CA140" s="278"/>
      <c r="CB140" s="278"/>
      <c r="CC140" s="278"/>
      <c r="CD140" s="278"/>
      <c r="CE140" s="278"/>
      <c r="CF140" s="278"/>
      <c r="CG140" s="278"/>
      <c r="CH140" s="278"/>
      <c r="CI140" s="278"/>
      <c r="CJ140" s="278"/>
      <c r="CK140" s="278"/>
      <c r="CL140" s="278"/>
      <c r="CM140" s="278"/>
      <c r="CN140" s="278"/>
      <c r="CO140" s="278"/>
      <c r="CP140" s="278"/>
      <c r="CQ140" s="278"/>
      <c r="CR140" s="278"/>
      <c r="CS140" s="278"/>
      <c r="CT140" s="278"/>
      <c r="CU140" s="278"/>
      <c r="CV140" s="278"/>
    </row>
    <row r="141" spans="1:100" s="231" customFormat="1" ht="15.75">
      <c r="A141" s="271"/>
      <c r="B141" s="267"/>
      <c r="C141" s="222"/>
      <c r="D141" s="222"/>
      <c r="E141" s="222"/>
      <c r="F141" s="224">
        <f>IF(F140="Use Local Value","Enter Local Value","")</f>
      </c>
      <c r="G141" s="763"/>
      <c r="H141" s="224">
        <f>IF(H140="Use Local Value","Enter Local Value","")</f>
      </c>
      <c r="I141" s="763"/>
      <c r="J141" s="224">
        <f>IF(J140="Use Local Value","Enter Local Value","")</f>
      </c>
      <c r="K141" s="225"/>
      <c r="L141" s="224">
        <f>IF(L140="Use Local Value","Enter Local Value","")</f>
      </c>
      <c r="M141" s="226"/>
      <c r="N141" s="224">
        <f>IF(N140="Use Local Value","Enter Local Value","")</f>
      </c>
      <c r="O141" s="226"/>
      <c r="P141" s="224">
        <f>IF(P140="Use Local Value","Enter Local Value","")</f>
      </c>
      <c r="Q141" s="226"/>
      <c r="R141" s="222"/>
      <c r="S141" s="224">
        <f>IF(S140="Use Local Value","Enter Local Value","")</f>
      </c>
      <c r="T141" s="304"/>
      <c r="U141" s="222"/>
      <c r="V141" s="222"/>
      <c r="W141" s="245"/>
      <c r="X141" s="245"/>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7"/>
      <c r="BH141" s="247"/>
      <c r="BI141" s="246"/>
      <c r="BJ141" s="246"/>
      <c r="BK141" s="246"/>
      <c r="BL141" s="246"/>
      <c r="BM141" s="246"/>
      <c r="BN141" s="246"/>
      <c r="BO141" s="246"/>
      <c r="BP141" s="246"/>
      <c r="BQ141" s="246"/>
      <c r="BR141" s="246"/>
      <c r="BS141" s="246"/>
      <c r="BT141" s="246"/>
      <c r="BU141" s="246"/>
      <c r="BV141" s="246"/>
      <c r="BW141" s="246"/>
      <c r="BX141" s="246"/>
      <c r="BY141" s="246"/>
      <c r="BZ141" s="246"/>
      <c r="CA141" s="246"/>
      <c r="CB141" s="246"/>
      <c r="CC141" s="246"/>
      <c r="CD141" s="246"/>
      <c r="CE141" s="246"/>
      <c r="CF141" s="246"/>
      <c r="CG141" s="246"/>
      <c r="CH141" s="246"/>
      <c r="CI141" s="246"/>
      <c r="CJ141" s="246"/>
      <c r="CK141" s="246"/>
      <c r="CL141" s="246"/>
      <c r="CM141" s="246"/>
      <c r="CN141" s="246"/>
      <c r="CO141" s="246"/>
      <c r="CP141" s="246"/>
      <c r="CQ141" s="246"/>
      <c r="CR141" s="246"/>
      <c r="CS141" s="246"/>
      <c r="CT141" s="246"/>
      <c r="CU141" s="246"/>
      <c r="CV141" s="246"/>
    </row>
    <row r="142" spans="1:100" s="248" customFormat="1" ht="17.25" customHeight="1" thickBot="1">
      <c r="A142" s="272"/>
      <c r="B142" s="268"/>
      <c r="C142" s="249"/>
      <c r="D142" s="249"/>
      <c r="E142" s="249"/>
      <c r="F142" s="249"/>
      <c r="G142" s="249"/>
      <c r="H142" s="249"/>
      <c r="I142" s="249"/>
      <c r="J142" s="250"/>
      <c r="K142" s="251"/>
      <c r="L142" s="250"/>
      <c r="M142" s="252"/>
      <c r="N142" s="250"/>
      <c r="O142" s="252"/>
      <c r="P142" s="250"/>
      <c r="Q142" s="252"/>
      <c r="R142" s="249"/>
      <c r="S142" s="250"/>
      <c r="T142" s="305"/>
      <c r="U142" s="249"/>
      <c r="V142" s="249"/>
      <c r="W142" s="249"/>
      <c r="X142" s="276"/>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c r="AW142" s="283"/>
      <c r="AX142" s="283"/>
      <c r="AY142" s="283"/>
      <c r="AZ142" s="283"/>
      <c r="BA142" s="283"/>
      <c r="BB142" s="283"/>
      <c r="BC142" s="283"/>
      <c r="BD142" s="283"/>
      <c r="BE142" s="283"/>
      <c r="BF142" s="283"/>
      <c r="BG142" s="284"/>
      <c r="BH142" s="284"/>
      <c r="BI142" s="283"/>
      <c r="BJ142" s="283"/>
      <c r="BK142" s="283"/>
      <c r="BL142" s="283"/>
      <c r="BM142" s="283"/>
      <c r="BN142" s="283"/>
      <c r="BO142" s="283"/>
      <c r="BP142" s="283"/>
      <c r="BQ142" s="283"/>
      <c r="BR142" s="283"/>
      <c r="BS142" s="283"/>
      <c r="BT142" s="283"/>
      <c r="BU142" s="283"/>
      <c r="BV142" s="283"/>
      <c r="BW142" s="283"/>
      <c r="BX142" s="283"/>
      <c r="BY142" s="283"/>
      <c r="BZ142" s="283"/>
      <c r="CA142" s="283"/>
      <c r="CB142" s="283"/>
      <c r="CC142" s="283"/>
      <c r="CD142" s="283"/>
      <c r="CE142" s="283"/>
      <c r="CF142" s="283"/>
      <c r="CG142" s="283"/>
      <c r="CH142" s="283"/>
      <c r="CI142" s="283"/>
      <c r="CJ142" s="283"/>
      <c r="CK142" s="283"/>
      <c r="CL142" s="283"/>
      <c r="CM142" s="283"/>
      <c r="CN142" s="283"/>
      <c r="CO142" s="283"/>
      <c r="CP142" s="283"/>
      <c r="CQ142" s="283"/>
      <c r="CR142" s="283"/>
      <c r="CS142" s="283"/>
      <c r="CT142" s="283"/>
      <c r="CU142" s="283"/>
      <c r="CV142" s="283"/>
    </row>
    <row r="143" spans="1:100" s="253" customFormat="1" ht="15.75">
      <c r="A143" s="270" t="s">
        <v>30</v>
      </c>
      <c r="B143" s="266" t="s">
        <v>380</v>
      </c>
      <c r="C143" s="802">
        <f>IF(A143="No","",1-'RF model'!$C$14)</f>
      </c>
      <c r="D143" s="254"/>
      <c r="E143" s="255">
        <f>IF(A143="No","",0.6)</f>
      </c>
      <c r="F143" s="762" t="s">
        <v>17</v>
      </c>
      <c r="G143" s="256">
        <f>IF(A143="No","",IF(F143="Use Default",13.3*(VLOOKUP('Start Page'!$G$4,'RF Workings'!$E$3:$G$13,2)/'RF Workings'!$F$7),""))</f>
      </c>
      <c r="H143" s="762" t="s">
        <v>17</v>
      </c>
      <c r="I143" s="256">
        <f>IF(A143="No","",IF(H143="Use Default",0.7*(VLOOKUP('Start Page'!$G$4,'RF Workings'!$E$3:$G$13,2)/'RF Workings'!$F$7),""))</f>
      </c>
      <c r="J143" s="257" t="s">
        <v>17</v>
      </c>
      <c r="K143" s="801">
        <f>IF(A143="No","",IF(J143="Use Default",IF($F$1="Non-PTE",$AB$3,$AA$3),""))</f>
      </c>
      <c r="L143" s="258" t="s">
        <v>17</v>
      </c>
      <c r="M143" s="259">
        <f>IF(A143="No","",IF(L143="Use Default",IF($F$1="Non-PTE",$AB$4,$AA$4),""))</f>
      </c>
      <c r="N143" s="258" t="s">
        <v>17</v>
      </c>
      <c r="O143" s="800">
        <f>IF(A143="No","",IF(N143="Use Default",IF($F$1="Non-PTE",$AB$5,$AA$5),""))</f>
      </c>
      <c r="P143" s="258" t="s">
        <v>17</v>
      </c>
      <c r="Q143" s="801">
        <f>IF(A143="No","",(IF(P143="Use Default",IF($F$1="Non-PTE",$AB$6,$AA$6),"")))</f>
      </c>
      <c r="R143" s="260"/>
      <c r="S143" s="258" t="s">
        <v>17</v>
      </c>
      <c r="T143" s="303">
        <f>IF(A143="No","",IF(S143="Use Default",IF('MCC Model '!$F$1="Non-PTE",$AB$7,$AA$7),""))</f>
      </c>
      <c r="U143" s="255">
        <f>IF(A143="No","",0.66)</f>
      </c>
      <c r="V143" s="433">
        <f>IF(A143="Yes",(IF(BA143&lt;0,0,BA143)),"")</f>
      </c>
      <c r="W143" s="434">
        <f>IF(A143="Yes",V143*C143*D143,"")</f>
      </c>
      <c r="X143" s="275"/>
      <c r="Y143" s="278"/>
      <c r="Z143" s="278"/>
      <c r="AA143" s="278">
        <f>IF(F133="Non-PTE",AB140,AA140)</f>
        <v>6</v>
      </c>
      <c r="AB143" s="279" t="e">
        <f>IF(AND(N143="Use Default",P143="Use Default"),Q143/O143,IF(AND(N143="Use Local Value",P143="Use Default"),Q143/O144,IF(AND(N143="Use Default",P143="Use Local Value"),Q144/O143,IF(AND(N143="Use Local Value",P143="Use Local Value"),Q144/O144))))*IF($M143="",$M144,$M143)/IF($Q143="",Q144,$Q143)</f>
        <v>#VALUE!</v>
      </c>
      <c r="AC143" s="279" t="e">
        <f>AA143*AB143</f>
        <v>#VALUE!</v>
      </c>
      <c r="AD143" s="279" t="e">
        <f>1/IF(Q143="",Q144,Q143)</f>
        <v>#DIV/0!</v>
      </c>
      <c r="AE143" s="279" t="e">
        <f>AA143*((AC143+AD143)/AC143)^E143</f>
        <v>#VALUE!</v>
      </c>
      <c r="AF143" s="279" t="e">
        <f>AA143/((IF(K143="",K144,K143)/(IF(Q143="",Q144,Q143)*2)))</f>
        <v>#DIV/0!</v>
      </c>
      <c r="AG143" s="279" t="e">
        <f>AF143/2</f>
        <v>#DIV/0!</v>
      </c>
      <c r="AH143" s="279" t="e">
        <f>AE143/((IF(K143="",K144,K143)/(IF(Q143="",Q144,Q143)*2)))</f>
        <v>#VALUE!</v>
      </c>
      <c r="AI143" s="279" t="e">
        <f>AH143/2</f>
        <v>#VALUE!</v>
      </c>
      <c r="AJ143" s="279" t="e">
        <f>AI143-AG143</f>
        <v>#VALUE!</v>
      </c>
      <c r="AK143" s="280" t="e">
        <f>AJ143*IF(F143="Use Default",G143,G144)</f>
        <v>#VALUE!</v>
      </c>
      <c r="AL143" s="279" t="e">
        <f>AA143*IF(K143="",K144,K143)/((IF(K143="",K144,K143)/(IF(Q143="",Q144,Q143)*2)))</f>
        <v>#DIV/0!</v>
      </c>
      <c r="AM143" s="278" t="e">
        <f>AL143/2</f>
        <v>#DIV/0!</v>
      </c>
      <c r="AN143" s="279" t="e">
        <f>AE143*IF(K143="",K144,K143)/((IF(K143="",K144,K143)/(IF(Q143="",Q144,Q143)*2)))</f>
        <v>#VALUE!</v>
      </c>
      <c r="AO143" s="278" t="e">
        <f>AN143/2</f>
        <v>#VALUE!</v>
      </c>
      <c r="AP143" s="278" t="e">
        <f>AO143-AM143</f>
        <v>#VALUE!</v>
      </c>
      <c r="AQ143" s="280" t="e">
        <f>AP143*IF(H143="Use Default",I143,I144)</f>
        <v>#VALUE!</v>
      </c>
      <c r="AR143" s="280" t="e">
        <f>AQ143+AK143</f>
        <v>#VALUE!</v>
      </c>
      <c r="AS143" s="281" t="e">
        <f>(AE143-AA143)/AA143</f>
        <v>#VALUE!</v>
      </c>
      <c r="AT143" s="281" t="e">
        <f>AS143*U143</f>
        <v>#VALUE!</v>
      </c>
      <c r="AU143" s="282" t="e">
        <f>AC143*IF(Q143="",Q144,Q143)*2</f>
        <v>#VALUE!</v>
      </c>
      <c r="AV143" s="278" t="e">
        <f>AU143/2</f>
        <v>#VALUE!</v>
      </c>
      <c r="AW143" s="282" t="e">
        <f>AV143*IF(T143="",T144,T143)</f>
        <v>#VALUE!</v>
      </c>
      <c r="AX143" s="279" t="e">
        <f>AW143*AT143</f>
        <v>#VALUE!</v>
      </c>
      <c r="AY143" s="280" t="e">
        <f>AX143*R143</f>
        <v>#VALUE!</v>
      </c>
      <c r="AZ143" s="280" t="e">
        <f>AX143*'AC model'!$D$18</f>
        <v>#VALUE!</v>
      </c>
      <c r="BA143" s="280" t="e">
        <f>AR143-AY143+AZ143</f>
        <v>#VALUE!</v>
      </c>
      <c r="BB143" s="278"/>
      <c r="BC143" s="278"/>
      <c r="BD143" s="278"/>
      <c r="BE143" s="278"/>
      <c r="BF143" s="278"/>
      <c r="BG143" s="278"/>
      <c r="BH143" s="278"/>
      <c r="BI143" s="278"/>
      <c r="BJ143" s="278"/>
      <c r="BK143" s="278"/>
      <c r="BL143" s="278"/>
      <c r="BM143" s="278"/>
      <c r="BN143" s="278"/>
      <c r="BO143" s="278"/>
      <c r="BP143" s="278"/>
      <c r="BQ143" s="278"/>
      <c r="BR143" s="278"/>
      <c r="BS143" s="278"/>
      <c r="BT143" s="278"/>
      <c r="BU143" s="278"/>
      <c r="BV143" s="278"/>
      <c r="BW143" s="278"/>
      <c r="BX143" s="278"/>
      <c r="BY143" s="278"/>
      <c r="BZ143" s="278"/>
      <c r="CA143" s="278"/>
      <c r="CB143" s="278"/>
      <c r="CC143" s="278"/>
      <c r="CD143" s="278"/>
      <c r="CE143" s="278"/>
      <c r="CF143" s="278"/>
      <c r="CG143" s="278"/>
      <c r="CH143" s="278"/>
      <c r="CI143" s="278"/>
      <c r="CJ143" s="278"/>
      <c r="CK143" s="278"/>
      <c r="CL143" s="278"/>
      <c r="CM143" s="278"/>
      <c r="CN143" s="278"/>
      <c r="CO143" s="278"/>
      <c r="CP143" s="278"/>
      <c r="CQ143" s="278"/>
      <c r="CR143" s="278"/>
      <c r="CS143" s="278"/>
      <c r="CT143" s="278"/>
      <c r="CU143" s="278"/>
      <c r="CV143" s="278"/>
    </row>
    <row r="144" spans="1:100" s="231" customFormat="1" ht="15.75">
      <c r="A144" s="271"/>
      <c r="B144" s="267"/>
      <c r="C144" s="222"/>
      <c r="D144" s="222"/>
      <c r="E144" s="222"/>
      <c r="F144" s="224">
        <f>IF(F143="Use Local Value","Enter Local Value","")</f>
      </c>
      <c r="G144" s="763"/>
      <c r="H144" s="224">
        <f>IF(H143="Use Local Value","Enter Local Value","")</f>
      </c>
      <c r="I144" s="763"/>
      <c r="J144" s="224">
        <f>IF(J143="Use Local Value","Enter Local Value","")</f>
      </c>
      <c r="K144" s="225"/>
      <c r="L144" s="224">
        <f>IF(L143="Use Local Value","Enter Local Value","")</f>
      </c>
      <c r="M144" s="226"/>
      <c r="N144" s="224">
        <f>IF(N143="Use Local Value","Enter Local Value","")</f>
      </c>
      <c r="O144" s="226"/>
      <c r="P144" s="224">
        <f>IF(P143="Use Local Value","Enter Local Value","")</f>
      </c>
      <c r="Q144" s="226"/>
      <c r="R144" s="222"/>
      <c r="S144" s="224">
        <f>IF(S143="Use Local Value","Enter Local Value","")</f>
      </c>
      <c r="T144" s="304"/>
      <c r="U144" s="222"/>
      <c r="V144" s="222"/>
      <c r="W144" s="245"/>
      <c r="X144" s="245"/>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7"/>
      <c r="BH144" s="247"/>
      <c r="BI144" s="246"/>
      <c r="BJ144" s="246"/>
      <c r="BK144" s="246"/>
      <c r="BL144" s="246"/>
      <c r="BM144" s="246"/>
      <c r="BN144" s="246"/>
      <c r="BO144" s="246"/>
      <c r="BP144" s="246"/>
      <c r="BQ144" s="246"/>
      <c r="BR144" s="246"/>
      <c r="BS144" s="246"/>
      <c r="BT144" s="246"/>
      <c r="BU144" s="246"/>
      <c r="BV144" s="246"/>
      <c r="BW144" s="246"/>
      <c r="BX144" s="246"/>
      <c r="BY144" s="246"/>
      <c r="BZ144" s="246"/>
      <c r="CA144" s="246"/>
      <c r="CB144" s="246"/>
      <c r="CC144" s="246"/>
      <c r="CD144" s="246"/>
      <c r="CE144" s="246"/>
      <c r="CF144" s="246"/>
      <c r="CG144" s="246"/>
      <c r="CH144" s="246"/>
      <c r="CI144" s="246"/>
      <c r="CJ144" s="246"/>
      <c r="CK144" s="246"/>
      <c r="CL144" s="246"/>
      <c r="CM144" s="246"/>
      <c r="CN144" s="246"/>
      <c r="CO144" s="246"/>
      <c r="CP144" s="246"/>
      <c r="CQ144" s="246"/>
      <c r="CR144" s="246"/>
      <c r="CS144" s="246"/>
      <c r="CT144" s="246"/>
      <c r="CU144" s="246"/>
      <c r="CV144" s="246"/>
    </row>
    <row r="145" spans="1:100" s="248" customFormat="1" ht="17.25" customHeight="1" thickBot="1">
      <c r="A145" s="272"/>
      <c r="B145" s="268"/>
      <c r="C145" s="249"/>
      <c r="D145" s="249"/>
      <c r="E145" s="249"/>
      <c r="F145" s="249"/>
      <c r="G145" s="249"/>
      <c r="H145" s="249"/>
      <c r="I145" s="249"/>
      <c r="J145" s="250"/>
      <c r="K145" s="251"/>
      <c r="L145" s="250"/>
      <c r="M145" s="252"/>
      <c r="N145" s="250"/>
      <c r="O145" s="252"/>
      <c r="P145" s="250"/>
      <c r="Q145" s="252"/>
      <c r="R145" s="249"/>
      <c r="S145" s="250"/>
      <c r="T145" s="305"/>
      <c r="U145" s="249"/>
      <c r="V145" s="249"/>
      <c r="W145" s="249"/>
      <c r="X145" s="276"/>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3"/>
      <c r="AY145" s="283"/>
      <c r="AZ145" s="283"/>
      <c r="BA145" s="283"/>
      <c r="BB145" s="283"/>
      <c r="BC145" s="283"/>
      <c r="BD145" s="283"/>
      <c r="BE145" s="283"/>
      <c r="BF145" s="283"/>
      <c r="BG145" s="284"/>
      <c r="BH145" s="284"/>
      <c r="BI145" s="283"/>
      <c r="BJ145" s="283"/>
      <c r="BK145" s="283"/>
      <c r="BL145" s="283"/>
      <c r="BM145" s="283"/>
      <c r="BN145" s="283"/>
      <c r="BO145" s="283"/>
      <c r="BP145" s="283"/>
      <c r="BQ145" s="283"/>
      <c r="BR145" s="283"/>
      <c r="BS145" s="283"/>
      <c r="BT145" s="283"/>
      <c r="BU145" s="283"/>
      <c r="BV145" s="283"/>
      <c r="BW145" s="283"/>
      <c r="BX145" s="283"/>
      <c r="BY145" s="283"/>
      <c r="BZ145" s="283"/>
      <c r="CA145" s="283"/>
      <c r="CB145" s="283"/>
      <c r="CC145" s="283"/>
      <c r="CD145" s="283"/>
      <c r="CE145" s="283"/>
      <c r="CF145" s="283"/>
      <c r="CG145" s="283"/>
      <c r="CH145" s="283"/>
      <c r="CI145" s="283"/>
      <c r="CJ145" s="283"/>
      <c r="CK145" s="283"/>
      <c r="CL145" s="283"/>
      <c r="CM145" s="283"/>
      <c r="CN145" s="283"/>
      <c r="CO145" s="283"/>
      <c r="CP145" s="283"/>
      <c r="CQ145" s="283"/>
      <c r="CR145" s="283"/>
      <c r="CS145" s="283"/>
      <c r="CT145" s="283"/>
      <c r="CU145" s="283"/>
      <c r="CV145" s="283"/>
    </row>
    <row r="146" spans="1:100" s="253" customFormat="1" ht="15.75">
      <c r="A146" s="270" t="s">
        <v>30</v>
      </c>
      <c r="B146" s="266" t="s">
        <v>380</v>
      </c>
      <c r="C146" s="802">
        <f>IF(A146="No","",1-'RF model'!$C$14)</f>
      </c>
      <c r="D146" s="254"/>
      <c r="E146" s="255">
        <f>IF(A146="No","",0.6)</f>
      </c>
      <c r="F146" s="762" t="s">
        <v>17</v>
      </c>
      <c r="G146" s="256">
        <f>IF(A146="No","",IF(F146="Use Default",13.3*(VLOOKUP('Start Page'!$G$4,'RF Workings'!$E$3:$G$13,2)/'RF Workings'!$F$7),""))</f>
      </c>
      <c r="H146" s="762" t="s">
        <v>17</v>
      </c>
      <c r="I146" s="256">
        <f>IF(A146="No","",IF(H146="Use Default",0.7*(VLOOKUP('Start Page'!$G$4,'RF Workings'!$E$3:$G$13,2)/'RF Workings'!$F$7),""))</f>
      </c>
      <c r="J146" s="257" t="s">
        <v>17</v>
      </c>
      <c r="K146" s="801">
        <f>IF(A146="No","",IF(J146="Use Default",IF($F$1="Non-PTE",$AB$3,$AA$3),""))</f>
      </c>
      <c r="L146" s="258" t="s">
        <v>17</v>
      </c>
      <c r="M146" s="259">
        <f>IF(A146="No","",IF(L146="Use Default",IF($F$1="Non-PTE",$AB$4,$AA$4),""))</f>
      </c>
      <c r="N146" s="258" t="s">
        <v>17</v>
      </c>
      <c r="O146" s="800">
        <f>IF(A146="No","",IF(N146="Use Default",IF($F$1="Non-PTE",$AB$5,$AA$5),""))</f>
      </c>
      <c r="P146" s="258" t="s">
        <v>17</v>
      </c>
      <c r="Q146" s="801">
        <f>IF(A146="No","",(IF(P146="Use Default",IF($F$1="Non-PTE",$AB$6,$AA$6),"")))</f>
      </c>
      <c r="R146" s="260"/>
      <c r="S146" s="258" t="s">
        <v>17</v>
      </c>
      <c r="T146" s="303">
        <f>IF(A146="No","",IF(S146="Use Default",IF('MCC Model '!$F$1="Non-PTE",$AB$7,$AA$7),""))</f>
      </c>
      <c r="U146" s="255">
        <f>IF(A146="No","",0.66)</f>
      </c>
      <c r="V146" s="433">
        <f>IF(A146="Yes",(IF(BA146&lt;0,0,BA146)),"")</f>
      </c>
      <c r="W146" s="434">
        <f>IF(A146="Yes",V146*C146*D146,"")</f>
      </c>
      <c r="X146" s="275"/>
      <c r="Y146" s="278"/>
      <c r="Z146" s="278"/>
      <c r="AA146" s="278">
        <f>IF(F136="Non-PTE",AB143,AA143)</f>
        <v>6</v>
      </c>
      <c r="AB146" s="279" t="e">
        <f>IF(AND(N146="Use Default",P146="Use Default"),Q146/O146,IF(AND(N146="Use Local Value",P146="Use Default"),Q146/O147,IF(AND(N146="Use Default",P146="Use Local Value"),Q147/O146,IF(AND(N146="Use Local Value",P146="Use Local Value"),Q147/O147))))*IF($M146="",$M147,$M146)/IF($Q146="",Q147,$Q146)</f>
        <v>#VALUE!</v>
      </c>
      <c r="AC146" s="279" t="e">
        <f>AA146*AB146</f>
        <v>#VALUE!</v>
      </c>
      <c r="AD146" s="279" t="e">
        <f>1/IF(Q146="",Q147,Q146)</f>
        <v>#DIV/0!</v>
      </c>
      <c r="AE146" s="279" t="e">
        <f>AA146*((AC146+AD146)/AC146)^E146</f>
        <v>#VALUE!</v>
      </c>
      <c r="AF146" s="279" t="e">
        <f>AA146/((IF(K146="",K147,K146)/(IF(Q146="",Q147,Q146)*2)))</f>
        <v>#DIV/0!</v>
      </c>
      <c r="AG146" s="279" t="e">
        <f>AF146/2</f>
        <v>#DIV/0!</v>
      </c>
      <c r="AH146" s="279" t="e">
        <f>AE146/((IF(K146="",K147,K146)/(IF(Q146="",Q147,Q146)*2)))</f>
        <v>#VALUE!</v>
      </c>
      <c r="AI146" s="279" t="e">
        <f>AH146/2</f>
        <v>#VALUE!</v>
      </c>
      <c r="AJ146" s="279" t="e">
        <f>AI146-AG146</f>
        <v>#VALUE!</v>
      </c>
      <c r="AK146" s="280" t="e">
        <f>AJ146*IF(F146="Use Default",G146,G147)</f>
        <v>#VALUE!</v>
      </c>
      <c r="AL146" s="279" t="e">
        <f>AA146*IF(K146="",K147,K146)/((IF(K146="",K147,K146)/(IF(Q146="",Q147,Q146)*2)))</f>
        <v>#DIV/0!</v>
      </c>
      <c r="AM146" s="278" t="e">
        <f>AL146/2</f>
        <v>#DIV/0!</v>
      </c>
      <c r="AN146" s="279" t="e">
        <f>AE146*IF(K146="",K147,K146)/((IF(K146="",K147,K146)/(IF(Q146="",Q147,Q146)*2)))</f>
        <v>#VALUE!</v>
      </c>
      <c r="AO146" s="278" t="e">
        <f>AN146/2</f>
        <v>#VALUE!</v>
      </c>
      <c r="AP146" s="278" t="e">
        <f>AO146-AM146</f>
        <v>#VALUE!</v>
      </c>
      <c r="AQ146" s="280" t="e">
        <f>AP146*IF(H146="Use Default",I146,I147)</f>
        <v>#VALUE!</v>
      </c>
      <c r="AR146" s="280" t="e">
        <f>AQ146+AK146</f>
        <v>#VALUE!</v>
      </c>
      <c r="AS146" s="281" t="e">
        <f>(AE146-AA146)/AA146</f>
        <v>#VALUE!</v>
      </c>
      <c r="AT146" s="281" t="e">
        <f>AS146*U146</f>
        <v>#VALUE!</v>
      </c>
      <c r="AU146" s="282" t="e">
        <f>AC146*IF(Q146="",Q147,Q146)*2</f>
        <v>#VALUE!</v>
      </c>
      <c r="AV146" s="278" t="e">
        <f>AU146/2</f>
        <v>#VALUE!</v>
      </c>
      <c r="AW146" s="282" t="e">
        <f>AV146*IF(T146="",T147,T146)</f>
        <v>#VALUE!</v>
      </c>
      <c r="AX146" s="279" t="e">
        <f>AW146*AT146</f>
        <v>#VALUE!</v>
      </c>
      <c r="AY146" s="280" t="e">
        <f>AX146*R146</f>
        <v>#VALUE!</v>
      </c>
      <c r="AZ146" s="280" t="e">
        <f>AX146*'AC model'!$D$18</f>
        <v>#VALUE!</v>
      </c>
      <c r="BA146" s="280" t="e">
        <f>AR146-AY146+AZ146</f>
        <v>#VALUE!</v>
      </c>
      <c r="BB146" s="278"/>
      <c r="BC146" s="278"/>
      <c r="BD146" s="278"/>
      <c r="BE146" s="278"/>
      <c r="BF146" s="278"/>
      <c r="BG146" s="278"/>
      <c r="BH146" s="278"/>
      <c r="BI146" s="278"/>
      <c r="BJ146" s="278"/>
      <c r="BK146" s="278"/>
      <c r="BL146" s="278"/>
      <c r="BM146" s="278"/>
      <c r="BN146" s="278"/>
      <c r="BO146" s="278"/>
      <c r="BP146" s="278"/>
      <c r="BQ146" s="278"/>
      <c r="BR146" s="278"/>
      <c r="BS146" s="278"/>
      <c r="BT146" s="278"/>
      <c r="BU146" s="278"/>
      <c r="BV146" s="278"/>
      <c r="BW146" s="278"/>
      <c r="BX146" s="278"/>
      <c r="BY146" s="278"/>
      <c r="BZ146" s="278"/>
      <c r="CA146" s="278"/>
      <c r="CB146" s="278"/>
      <c r="CC146" s="278"/>
      <c r="CD146" s="278"/>
      <c r="CE146" s="278"/>
      <c r="CF146" s="278"/>
      <c r="CG146" s="278"/>
      <c r="CH146" s="278"/>
      <c r="CI146" s="278"/>
      <c r="CJ146" s="278"/>
      <c r="CK146" s="278"/>
      <c r="CL146" s="278"/>
      <c r="CM146" s="278"/>
      <c r="CN146" s="278"/>
      <c r="CO146" s="278"/>
      <c r="CP146" s="278"/>
      <c r="CQ146" s="278"/>
      <c r="CR146" s="278"/>
      <c r="CS146" s="278"/>
      <c r="CT146" s="278"/>
      <c r="CU146" s="278"/>
      <c r="CV146" s="278"/>
    </row>
    <row r="147" spans="1:100" s="231" customFormat="1" ht="15.75">
      <c r="A147" s="271"/>
      <c r="B147" s="267"/>
      <c r="C147" s="222"/>
      <c r="D147" s="222"/>
      <c r="E147" s="222"/>
      <c r="F147" s="224">
        <f>IF(F146="Use Local Value","Enter Local Value","")</f>
      </c>
      <c r="G147" s="763"/>
      <c r="H147" s="224">
        <f>IF(H146="Use Local Value","Enter Local Value","")</f>
      </c>
      <c r="I147" s="763"/>
      <c r="J147" s="224">
        <f>IF(J146="Use Local Value","Enter Local Value","")</f>
      </c>
      <c r="K147" s="225"/>
      <c r="L147" s="224">
        <f>IF(L146="Use Local Value","Enter Local Value","")</f>
      </c>
      <c r="M147" s="226"/>
      <c r="N147" s="224">
        <f>IF(N146="Use Local Value","Enter Local Value","")</f>
      </c>
      <c r="O147" s="226"/>
      <c r="P147" s="224">
        <f>IF(P146="Use Local Value","Enter Local Value","")</f>
      </c>
      <c r="Q147" s="226"/>
      <c r="R147" s="222"/>
      <c r="S147" s="224">
        <f>IF(S146="Use Local Value","Enter Local Value","")</f>
      </c>
      <c r="T147" s="304"/>
      <c r="U147" s="222"/>
      <c r="V147" s="222"/>
      <c r="W147" s="245"/>
      <c r="X147" s="245"/>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7"/>
      <c r="BH147" s="247"/>
      <c r="BI147" s="246"/>
      <c r="BJ147" s="246"/>
      <c r="BK147" s="246"/>
      <c r="BL147" s="246"/>
      <c r="BM147" s="246"/>
      <c r="BN147" s="246"/>
      <c r="BO147" s="246"/>
      <c r="BP147" s="246"/>
      <c r="BQ147" s="246"/>
      <c r="BR147" s="246"/>
      <c r="BS147" s="246"/>
      <c r="BT147" s="246"/>
      <c r="BU147" s="246"/>
      <c r="BV147" s="246"/>
      <c r="BW147" s="246"/>
      <c r="BX147" s="246"/>
      <c r="BY147" s="246"/>
      <c r="BZ147" s="246"/>
      <c r="CA147" s="246"/>
      <c r="CB147" s="246"/>
      <c r="CC147" s="246"/>
      <c r="CD147" s="246"/>
      <c r="CE147" s="246"/>
      <c r="CF147" s="246"/>
      <c r="CG147" s="246"/>
      <c r="CH147" s="246"/>
      <c r="CI147" s="246"/>
      <c r="CJ147" s="246"/>
      <c r="CK147" s="246"/>
      <c r="CL147" s="246"/>
      <c r="CM147" s="246"/>
      <c r="CN147" s="246"/>
      <c r="CO147" s="246"/>
      <c r="CP147" s="246"/>
      <c r="CQ147" s="246"/>
      <c r="CR147" s="246"/>
      <c r="CS147" s="246"/>
      <c r="CT147" s="246"/>
      <c r="CU147" s="246"/>
      <c r="CV147" s="246"/>
    </row>
    <row r="148" spans="1:100" s="248" customFormat="1" ht="17.25" customHeight="1" thickBot="1">
      <c r="A148" s="272"/>
      <c r="B148" s="268"/>
      <c r="C148" s="249"/>
      <c r="D148" s="249"/>
      <c r="E148" s="249"/>
      <c r="F148" s="249"/>
      <c r="G148" s="249"/>
      <c r="H148" s="249"/>
      <c r="I148" s="249"/>
      <c r="J148" s="250"/>
      <c r="K148" s="251"/>
      <c r="L148" s="250"/>
      <c r="M148" s="252"/>
      <c r="N148" s="250"/>
      <c r="O148" s="252"/>
      <c r="P148" s="250"/>
      <c r="Q148" s="252"/>
      <c r="R148" s="249"/>
      <c r="S148" s="250"/>
      <c r="T148" s="305"/>
      <c r="U148" s="249"/>
      <c r="V148" s="249"/>
      <c r="W148" s="249"/>
      <c r="X148" s="276"/>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c r="BC148" s="283"/>
      <c r="BD148" s="283"/>
      <c r="BE148" s="283"/>
      <c r="BF148" s="283"/>
      <c r="BG148" s="284"/>
      <c r="BH148" s="284"/>
      <c r="BI148" s="283"/>
      <c r="BJ148" s="283"/>
      <c r="BK148" s="283"/>
      <c r="BL148" s="283"/>
      <c r="BM148" s="283"/>
      <c r="BN148" s="283"/>
      <c r="BO148" s="283"/>
      <c r="BP148" s="283"/>
      <c r="BQ148" s="283"/>
      <c r="BR148" s="283"/>
      <c r="BS148" s="283"/>
      <c r="BT148" s="283"/>
      <c r="BU148" s="283"/>
      <c r="BV148" s="283"/>
      <c r="BW148" s="283"/>
      <c r="BX148" s="283"/>
      <c r="BY148" s="283"/>
      <c r="BZ148" s="283"/>
      <c r="CA148" s="283"/>
      <c r="CB148" s="283"/>
      <c r="CC148" s="283"/>
      <c r="CD148" s="283"/>
      <c r="CE148" s="283"/>
      <c r="CF148" s="283"/>
      <c r="CG148" s="283"/>
      <c r="CH148" s="283"/>
      <c r="CI148" s="283"/>
      <c r="CJ148" s="283"/>
      <c r="CK148" s="283"/>
      <c r="CL148" s="283"/>
      <c r="CM148" s="283"/>
      <c r="CN148" s="283"/>
      <c r="CO148" s="283"/>
      <c r="CP148" s="283"/>
      <c r="CQ148" s="283"/>
      <c r="CR148" s="283"/>
      <c r="CS148" s="283"/>
      <c r="CT148" s="283"/>
      <c r="CU148" s="283"/>
      <c r="CV148" s="283"/>
    </row>
    <row r="149" spans="1:100" s="253" customFormat="1" ht="15.75">
      <c r="A149" s="270" t="s">
        <v>30</v>
      </c>
      <c r="B149" s="266" t="s">
        <v>380</v>
      </c>
      <c r="C149" s="802">
        <f>IF(A149="No","",1-'RF model'!$C$14)</f>
      </c>
      <c r="D149" s="254"/>
      <c r="E149" s="255">
        <f>IF(A149="No","",0.6)</f>
      </c>
      <c r="F149" s="762" t="s">
        <v>17</v>
      </c>
      <c r="G149" s="256">
        <f>IF(A149="No","",IF(F149="Use Default",13.3*(VLOOKUP('Start Page'!$G$4,'RF Workings'!$E$3:$G$13,2)/'RF Workings'!$F$7),""))</f>
      </c>
      <c r="H149" s="762" t="s">
        <v>17</v>
      </c>
      <c r="I149" s="256">
        <f>IF(A149="No","",IF(H149="Use Default",0.7*(VLOOKUP('Start Page'!$G$4,'RF Workings'!$E$3:$G$13,2)/'RF Workings'!$F$7),""))</f>
      </c>
      <c r="J149" s="257" t="s">
        <v>17</v>
      </c>
      <c r="K149" s="801">
        <f>IF(A149="No","",IF(J149="Use Default",IF($F$1="Non-PTE",$AB$3,$AA$3),""))</f>
      </c>
      <c r="L149" s="258" t="s">
        <v>17</v>
      </c>
      <c r="M149" s="259">
        <f>IF(A149="No","",IF(L149="Use Default",IF($F$1="Non-PTE",$AB$4,$AA$4),""))</f>
      </c>
      <c r="N149" s="258" t="s">
        <v>17</v>
      </c>
      <c r="O149" s="800">
        <f>IF(A149="No","",IF(N149="Use Default",IF($F$1="Non-PTE",$AB$5,$AA$5),""))</f>
      </c>
      <c r="P149" s="258" t="s">
        <v>17</v>
      </c>
      <c r="Q149" s="801">
        <f>IF(A149="No","",(IF(P149="Use Default",IF($F$1="Non-PTE",$AB$6,$AA$6),"")))</f>
      </c>
      <c r="R149" s="260"/>
      <c r="S149" s="258" t="s">
        <v>17</v>
      </c>
      <c r="T149" s="303">
        <f>IF(A149="No","",IF(S149="Use Default",IF('MCC Model '!$F$1="Non-PTE",$AB$7,$AA$7),""))</f>
      </c>
      <c r="U149" s="255">
        <f>IF(A149="No","",0.66)</f>
      </c>
      <c r="V149" s="433">
        <f>IF(A149="Yes",(IF(BA149&lt;0,0,BA149)),"")</f>
      </c>
      <c r="W149" s="434">
        <f>IF(A149="Yes",V149*C149*D149,"")</f>
      </c>
      <c r="X149" s="275"/>
      <c r="Y149" s="278"/>
      <c r="Z149" s="278"/>
      <c r="AA149" s="278">
        <f>IF(F139="Non-PTE",AB146,AA146)</f>
        <v>6</v>
      </c>
      <c r="AB149" s="279" t="e">
        <f>IF(AND(N149="Use Default",P149="Use Default"),Q149/O149,IF(AND(N149="Use Local Value",P149="Use Default"),Q149/O150,IF(AND(N149="Use Default",P149="Use Local Value"),Q150/O149,IF(AND(N149="Use Local Value",P149="Use Local Value"),Q150/O150))))*IF($M149="",$M150,$M149)/IF($Q149="",Q150,$Q149)</f>
        <v>#VALUE!</v>
      </c>
      <c r="AC149" s="279" t="e">
        <f>AA149*AB149</f>
        <v>#VALUE!</v>
      </c>
      <c r="AD149" s="279" t="e">
        <f>1/IF(Q149="",Q150,Q149)</f>
        <v>#DIV/0!</v>
      </c>
      <c r="AE149" s="279" t="e">
        <f>AA149*((AC149+AD149)/AC149)^E149</f>
        <v>#VALUE!</v>
      </c>
      <c r="AF149" s="279" t="e">
        <f>AA149/((IF(K149="",K150,K149)/(IF(Q149="",Q150,Q149)*2)))</f>
        <v>#DIV/0!</v>
      </c>
      <c r="AG149" s="279" t="e">
        <f>AF149/2</f>
        <v>#DIV/0!</v>
      </c>
      <c r="AH149" s="279" t="e">
        <f>AE149/((IF(K149="",K150,K149)/(IF(Q149="",Q150,Q149)*2)))</f>
        <v>#VALUE!</v>
      </c>
      <c r="AI149" s="279" t="e">
        <f>AH149/2</f>
        <v>#VALUE!</v>
      </c>
      <c r="AJ149" s="279" t="e">
        <f>AI149-AG149</f>
        <v>#VALUE!</v>
      </c>
      <c r="AK149" s="280" t="e">
        <f>AJ149*IF(F149="Use Default",G149,G150)</f>
        <v>#VALUE!</v>
      </c>
      <c r="AL149" s="279" t="e">
        <f>AA149*IF(K149="",K150,K149)/((IF(K149="",K150,K149)/(IF(Q149="",Q150,Q149)*2)))</f>
        <v>#DIV/0!</v>
      </c>
      <c r="AM149" s="278" t="e">
        <f>AL149/2</f>
        <v>#DIV/0!</v>
      </c>
      <c r="AN149" s="279" t="e">
        <f>AE149*IF(K149="",K150,K149)/((IF(K149="",K150,K149)/(IF(Q149="",Q150,Q149)*2)))</f>
        <v>#VALUE!</v>
      </c>
      <c r="AO149" s="278" t="e">
        <f>AN149/2</f>
        <v>#VALUE!</v>
      </c>
      <c r="AP149" s="278" t="e">
        <f>AO149-AM149</f>
        <v>#VALUE!</v>
      </c>
      <c r="AQ149" s="280" t="e">
        <f>AP149*IF(H149="Use Default",I149,I150)</f>
        <v>#VALUE!</v>
      </c>
      <c r="AR149" s="280" t="e">
        <f>AQ149+AK149</f>
        <v>#VALUE!</v>
      </c>
      <c r="AS149" s="281" t="e">
        <f>(AE149-AA149)/AA149</f>
        <v>#VALUE!</v>
      </c>
      <c r="AT149" s="281" t="e">
        <f>AS149*U149</f>
        <v>#VALUE!</v>
      </c>
      <c r="AU149" s="282" t="e">
        <f>AC149*IF(Q149="",Q150,Q149)*2</f>
        <v>#VALUE!</v>
      </c>
      <c r="AV149" s="278" t="e">
        <f>AU149/2</f>
        <v>#VALUE!</v>
      </c>
      <c r="AW149" s="282" t="e">
        <f>AV149*IF(T149="",T150,T149)</f>
        <v>#VALUE!</v>
      </c>
      <c r="AX149" s="279" t="e">
        <f>AW149*AT149</f>
        <v>#VALUE!</v>
      </c>
      <c r="AY149" s="280" t="e">
        <f>AX149*R149</f>
        <v>#VALUE!</v>
      </c>
      <c r="AZ149" s="280" t="e">
        <f>AX149*'AC model'!$D$18</f>
        <v>#VALUE!</v>
      </c>
      <c r="BA149" s="280" t="e">
        <f>AR149-AY149+AZ149</f>
        <v>#VALUE!</v>
      </c>
      <c r="BB149" s="278"/>
      <c r="BC149" s="278"/>
      <c r="BD149" s="278"/>
      <c r="BE149" s="278"/>
      <c r="BF149" s="278"/>
      <c r="BG149" s="278"/>
      <c r="BH149" s="278"/>
      <c r="BI149" s="278"/>
      <c r="BJ149" s="278"/>
      <c r="BK149" s="278"/>
      <c r="BL149" s="278"/>
      <c r="BM149" s="278"/>
      <c r="BN149" s="278"/>
      <c r="BO149" s="278"/>
      <c r="BP149" s="278"/>
      <c r="BQ149" s="278"/>
      <c r="BR149" s="278"/>
      <c r="BS149" s="278"/>
      <c r="BT149" s="278"/>
      <c r="BU149" s="278"/>
      <c r="BV149" s="278"/>
      <c r="BW149" s="278"/>
      <c r="BX149" s="278"/>
      <c r="BY149" s="278"/>
      <c r="BZ149" s="278"/>
      <c r="CA149" s="278"/>
      <c r="CB149" s="278"/>
      <c r="CC149" s="278"/>
      <c r="CD149" s="278"/>
      <c r="CE149" s="278"/>
      <c r="CF149" s="278"/>
      <c r="CG149" s="278"/>
      <c r="CH149" s="278"/>
      <c r="CI149" s="278"/>
      <c r="CJ149" s="278"/>
      <c r="CK149" s="278"/>
      <c r="CL149" s="278"/>
      <c r="CM149" s="278"/>
      <c r="CN149" s="278"/>
      <c r="CO149" s="278"/>
      <c r="CP149" s="278"/>
      <c r="CQ149" s="278"/>
      <c r="CR149" s="278"/>
      <c r="CS149" s="278"/>
      <c r="CT149" s="278"/>
      <c r="CU149" s="278"/>
      <c r="CV149" s="278"/>
    </row>
    <row r="150" spans="1:100" s="231" customFormat="1" ht="15.75">
      <c r="A150" s="271"/>
      <c r="B150" s="267"/>
      <c r="C150" s="222"/>
      <c r="D150" s="222"/>
      <c r="E150" s="222"/>
      <c r="F150" s="224">
        <f>IF(F149="Use Local Value","Enter Local Value","")</f>
      </c>
      <c r="G150" s="763"/>
      <c r="H150" s="224">
        <f>IF(H149="Use Local Value","Enter Local Value","")</f>
      </c>
      <c r="I150" s="763"/>
      <c r="J150" s="224">
        <f>IF(J149="Use Local Value","Enter Local Value","")</f>
      </c>
      <c r="K150" s="225"/>
      <c r="L150" s="224">
        <f>IF(L149="Use Local Value","Enter Local Value","")</f>
      </c>
      <c r="M150" s="226"/>
      <c r="N150" s="224">
        <f>IF(N149="Use Local Value","Enter Local Value","")</f>
      </c>
      <c r="O150" s="226"/>
      <c r="P150" s="224">
        <f>IF(P149="Use Local Value","Enter Local Value","")</f>
      </c>
      <c r="Q150" s="226"/>
      <c r="R150" s="222"/>
      <c r="S150" s="224">
        <f>IF(S149="Use Local Value","Enter Local Value","")</f>
      </c>
      <c r="T150" s="304"/>
      <c r="U150" s="222"/>
      <c r="V150" s="222"/>
      <c r="W150" s="245"/>
      <c r="X150" s="245"/>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7"/>
      <c r="BH150" s="247"/>
      <c r="BI150" s="246"/>
      <c r="BJ150" s="246"/>
      <c r="BK150" s="246"/>
      <c r="BL150" s="246"/>
      <c r="BM150" s="246"/>
      <c r="BN150" s="246"/>
      <c r="BO150" s="246"/>
      <c r="BP150" s="246"/>
      <c r="BQ150" s="246"/>
      <c r="BR150" s="246"/>
      <c r="BS150" s="246"/>
      <c r="BT150" s="246"/>
      <c r="BU150" s="246"/>
      <c r="BV150" s="246"/>
      <c r="BW150" s="246"/>
      <c r="BX150" s="246"/>
      <c r="BY150" s="246"/>
      <c r="BZ150" s="246"/>
      <c r="CA150" s="246"/>
      <c r="CB150" s="246"/>
      <c r="CC150" s="246"/>
      <c r="CD150" s="246"/>
      <c r="CE150" s="246"/>
      <c r="CF150" s="246"/>
      <c r="CG150" s="246"/>
      <c r="CH150" s="246"/>
      <c r="CI150" s="246"/>
      <c r="CJ150" s="246"/>
      <c r="CK150" s="246"/>
      <c r="CL150" s="246"/>
      <c r="CM150" s="246"/>
      <c r="CN150" s="246"/>
      <c r="CO150" s="246"/>
      <c r="CP150" s="246"/>
      <c r="CQ150" s="246"/>
      <c r="CR150" s="246"/>
      <c r="CS150" s="246"/>
      <c r="CT150" s="246"/>
      <c r="CU150" s="246"/>
      <c r="CV150" s="246"/>
    </row>
    <row r="151" spans="1:100" s="248" customFormat="1" ht="17.25" customHeight="1" thickBot="1">
      <c r="A151" s="272"/>
      <c r="B151" s="268"/>
      <c r="C151" s="249"/>
      <c r="D151" s="249"/>
      <c r="E151" s="249"/>
      <c r="F151" s="249"/>
      <c r="G151" s="249"/>
      <c r="H151" s="249"/>
      <c r="I151" s="249"/>
      <c r="J151" s="250"/>
      <c r="K151" s="251"/>
      <c r="L151" s="250"/>
      <c r="M151" s="252"/>
      <c r="N151" s="250"/>
      <c r="O151" s="252"/>
      <c r="P151" s="250"/>
      <c r="Q151" s="252"/>
      <c r="R151" s="249"/>
      <c r="S151" s="250"/>
      <c r="T151" s="305"/>
      <c r="U151" s="249"/>
      <c r="V151" s="249"/>
      <c r="W151" s="249"/>
      <c r="X151" s="276"/>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c r="AW151" s="283"/>
      <c r="AX151" s="283"/>
      <c r="AY151" s="283"/>
      <c r="AZ151" s="283"/>
      <c r="BA151" s="283"/>
      <c r="BB151" s="283"/>
      <c r="BC151" s="283"/>
      <c r="BD151" s="283"/>
      <c r="BE151" s="283"/>
      <c r="BF151" s="283"/>
      <c r="BG151" s="284"/>
      <c r="BH151" s="284"/>
      <c r="BI151" s="283"/>
      <c r="BJ151" s="283"/>
      <c r="BK151" s="283"/>
      <c r="BL151" s="283"/>
      <c r="BM151" s="283"/>
      <c r="BN151" s="283"/>
      <c r="BO151" s="283"/>
      <c r="BP151" s="283"/>
      <c r="BQ151" s="283"/>
      <c r="BR151" s="283"/>
      <c r="BS151" s="283"/>
      <c r="BT151" s="283"/>
      <c r="BU151" s="283"/>
      <c r="BV151" s="283"/>
      <c r="BW151" s="283"/>
      <c r="BX151" s="283"/>
      <c r="BY151" s="283"/>
      <c r="BZ151" s="283"/>
      <c r="CA151" s="283"/>
      <c r="CB151" s="283"/>
      <c r="CC151" s="283"/>
      <c r="CD151" s="283"/>
      <c r="CE151" s="283"/>
      <c r="CF151" s="283"/>
      <c r="CG151" s="283"/>
      <c r="CH151" s="283"/>
      <c r="CI151" s="283"/>
      <c r="CJ151" s="283"/>
      <c r="CK151" s="283"/>
      <c r="CL151" s="283"/>
      <c r="CM151" s="283"/>
      <c r="CN151" s="283"/>
      <c r="CO151" s="283"/>
      <c r="CP151" s="283"/>
      <c r="CQ151" s="283"/>
      <c r="CR151" s="283"/>
      <c r="CS151" s="283"/>
      <c r="CT151" s="283"/>
      <c r="CU151" s="283"/>
      <c r="CV151" s="283"/>
    </row>
    <row r="152" spans="1:100" s="253" customFormat="1" ht="15.75">
      <c r="A152" s="270" t="s">
        <v>30</v>
      </c>
      <c r="B152" s="266" t="s">
        <v>380</v>
      </c>
      <c r="C152" s="802">
        <f>IF(A152="No","",1-'RF model'!$C$14)</f>
      </c>
      <c r="D152" s="254"/>
      <c r="E152" s="255">
        <f>IF(A152="No","",0.6)</f>
      </c>
      <c r="F152" s="762" t="s">
        <v>17</v>
      </c>
      <c r="G152" s="256">
        <f>IF(A152="No","",IF(F152="Use Default",13.3*(VLOOKUP('Start Page'!$G$4,'RF Workings'!$E$3:$G$13,2)/'RF Workings'!$F$7),""))</f>
      </c>
      <c r="H152" s="762" t="s">
        <v>17</v>
      </c>
      <c r="I152" s="256">
        <f>IF(A152="No","",IF(H152="Use Default",0.7*(VLOOKUP('Start Page'!$G$4,'RF Workings'!$E$3:$G$13,2)/'RF Workings'!$F$7),""))</f>
      </c>
      <c r="J152" s="257" t="s">
        <v>17</v>
      </c>
      <c r="K152" s="801">
        <f>IF(A152="No","",IF(J152="Use Default",IF($F$1="Non-PTE",$AB$3,$AA$3),""))</f>
      </c>
      <c r="L152" s="258" t="s">
        <v>17</v>
      </c>
      <c r="M152" s="259">
        <f>IF(A152="No","",IF(L152="Use Default",IF($F$1="Non-PTE",$AB$4,$AA$4),""))</f>
      </c>
      <c r="N152" s="258" t="s">
        <v>17</v>
      </c>
      <c r="O152" s="800">
        <f>IF(A152="No","",IF(N152="Use Default",IF($F$1="Non-PTE",$AB$5,$AA$5),""))</f>
      </c>
      <c r="P152" s="258" t="s">
        <v>17</v>
      </c>
      <c r="Q152" s="801">
        <f>IF(A152="No","",(IF(P152="Use Default",IF($F$1="Non-PTE",$AB$6,$AA$6),"")))</f>
      </c>
      <c r="R152" s="260"/>
      <c r="S152" s="258" t="s">
        <v>17</v>
      </c>
      <c r="T152" s="303">
        <f>IF(A152="No","",IF(S152="Use Default",IF('MCC Model '!$F$1="Non-PTE",$AB$7,$AA$7),""))</f>
      </c>
      <c r="U152" s="255">
        <f>IF(A152="No","",0.66)</f>
      </c>
      <c r="V152" s="433">
        <f>IF(A152="Yes",(IF(BA152&lt;0,0,BA152)),"")</f>
      </c>
      <c r="W152" s="434">
        <f>IF(A152="Yes",V152*C152*D152,"")</f>
      </c>
      <c r="X152" s="275"/>
      <c r="Y152" s="278"/>
      <c r="Z152" s="278"/>
      <c r="AA152" s="278">
        <f>IF(F142="Non-PTE",AB149,AA149)</f>
        <v>6</v>
      </c>
      <c r="AB152" s="279" t="e">
        <f>IF(AND(N152="Use Default",P152="Use Default"),Q152/O152,IF(AND(N152="Use Local Value",P152="Use Default"),Q152/O153,IF(AND(N152="Use Default",P152="Use Local Value"),Q153/O152,IF(AND(N152="Use Local Value",P152="Use Local Value"),Q153/O153))))*IF($M152="",$M153,$M152)/IF($Q152="",Q153,$Q152)</f>
        <v>#VALUE!</v>
      </c>
      <c r="AC152" s="279" t="e">
        <f>AA152*AB152</f>
        <v>#VALUE!</v>
      </c>
      <c r="AD152" s="279" t="e">
        <f>1/IF(Q152="",Q153,Q152)</f>
        <v>#DIV/0!</v>
      </c>
      <c r="AE152" s="279" t="e">
        <f>AA152*((AC152+AD152)/AC152)^E152</f>
        <v>#VALUE!</v>
      </c>
      <c r="AF152" s="279" t="e">
        <f>AA152/((IF(K152="",K153,K152)/(IF(Q152="",Q153,Q152)*2)))</f>
        <v>#DIV/0!</v>
      </c>
      <c r="AG152" s="279" t="e">
        <f>AF152/2</f>
        <v>#DIV/0!</v>
      </c>
      <c r="AH152" s="279" t="e">
        <f>AE152/((IF(K152="",K153,K152)/(IF(Q152="",Q153,Q152)*2)))</f>
        <v>#VALUE!</v>
      </c>
      <c r="AI152" s="279" t="e">
        <f>AH152/2</f>
        <v>#VALUE!</v>
      </c>
      <c r="AJ152" s="279" t="e">
        <f>AI152-AG152</f>
        <v>#VALUE!</v>
      </c>
      <c r="AK152" s="280" t="e">
        <f>AJ152*IF(F152="Use Default",G152,G153)</f>
        <v>#VALUE!</v>
      </c>
      <c r="AL152" s="279" t="e">
        <f>AA152*IF(K152="",K153,K152)/((IF(K152="",K153,K152)/(IF(Q152="",Q153,Q152)*2)))</f>
        <v>#DIV/0!</v>
      </c>
      <c r="AM152" s="278" t="e">
        <f>AL152/2</f>
        <v>#DIV/0!</v>
      </c>
      <c r="AN152" s="279" t="e">
        <f>AE152*IF(K152="",K153,K152)/((IF(K152="",K153,K152)/(IF(Q152="",Q153,Q152)*2)))</f>
        <v>#VALUE!</v>
      </c>
      <c r="AO152" s="278" t="e">
        <f>AN152/2</f>
        <v>#VALUE!</v>
      </c>
      <c r="AP152" s="278" t="e">
        <f>AO152-AM152</f>
        <v>#VALUE!</v>
      </c>
      <c r="AQ152" s="280" t="e">
        <f>AP152*IF(H152="Use Default",I152,I153)</f>
        <v>#VALUE!</v>
      </c>
      <c r="AR152" s="280" t="e">
        <f>AQ152+AK152</f>
        <v>#VALUE!</v>
      </c>
      <c r="AS152" s="281" t="e">
        <f>(AE152-AA152)/AA152</f>
        <v>#VALUE!</v>
      </c>
      <c r="AT152" s="281" t="e">
        <f>AS152*U152</f>
        <v>#VALUE!</v>
      </c>
      <c r="AU152" s="282" t="e">
        <f>AC152*IF(Q152="",Q153,Q152)*2</f>
        <v>#VALUE!</v>
      </c>
      <c r="AV152" s="278" t="e">
        <f>AU152/2</f>
        <v>#VALUE!</v>
      </c>
      <c r="AW152" s="282" t="e">
        <f>AV152*IF(T152="",T153,T152)</f>
        <v>#VALUE!</v>
      </c>
      <c r="AX152" s="279" t="e">
        <f>AW152*AT152</f>
        <v>#VALUE!</v>
      </c>
      <c r="AY152" s="280" t="e">
        <f>AX152*R152</f>
        <v>#VALUE!</v>
      </c>
      <c r="AZ152" s="280" t="e">
        <f>AX152*'AC model'!$D$18</f>
        <v>#VALUE!</v>
      </c>
      <c r="BA152" s="280" t="e">
        <f>AR152-AY152+AZ152</f>
        <v>#VALUE!</v>
      </c>
      <c r="BB152" s="278"/>
      <c r="BC152" s="278"/>
      <c r="BD152" s="278"/>
      <c r="BE152" s="278"/>
      <c r="BF152" s="278"/>
      <c r="BG152" s="278"/>
      <c r="BH152" s="278"/>
      <c r="BI152" s="278"/>
      <c r="BJ152" s="278"/>
      <c r="BK152" s="278"/>
      <c r="BL152" s="278"/>
      <c r="BM152" s="278"/>
      <c r="BN152" s="278"/>
      <c r="BO152" s="278"/>
      <c r="BP152" s="278"/>
      <c r="BQ152" s="278"/>
      <c r="BR152" s="278"/>
      <c r="BS152" s="278"/>
      <c r="BT152" s="278"/>
      <c r="BU152" s="278"/>
      <c r="BV152" s="278"/>
      <c r="BW152" s="278"/>
      <c r="BX152" s="278"/>
      <c r="BY152" s="278"/>
      <c r="BZ152" s="278"/>
      <c r="CA152" s="278"/>
      <c r="CB152" s="278"/>
      <c r="CC152" s="278"/>
      <c r="CD152" s="278"/>
      <c r="CE152" s="278"/>
      <c r="CF152" s="278"/>
      <c r="CG152" s="278"/>
      <c r="CH152" s="278"/>
      <c r="CI152" s="278"/>
      <c r="CJ152" s="278"/>
      <c r="CK152" s="278"/>
      <c r="CL152" s="278"/>
      <c r="CM152" s="278"/>
      <c r="CN152" s="278"/>
      <c r="CO152" s="278"/>
      <c r="CP152" s="278"/>
      <c r="CQ152" s="278"/>
      <c r="CR152" s="278"/>
      <c r="CS152" s="278"/>
      <c r="CT152" s="278"/>
      <c r="CU152" s="278"/>
      <c r="CV152" s="278"/>
    </row>
    <row r="153" spans="1:100" s="231" customFormat="1" ht="15.75">
      <c r="A153" s="271"/>
      <c r="B153" s="267"/>
      <c r="C153" s="222"/>
      <c r="D153" s="222"/>
      <c r="E153" s="222"/>
      <c r="F153" s="224">
        <f>IF(F152="Use Local Value","Enter Local Value","")</f>
      </c>
      <c r="G153" s="763"/>
      <c r="H153" s="224">
        <f>IF(H152="Use Local Value","Enter Local Value","")</f>
      </c>
      <c r="I153" s="763"/>
      <c r="J153" s="224">
        <f>IF(J152="Use Local Value","Enter Local Value","")</f>
      </c>
      <c r="K153" s="225"/>
      <c r="L153" s="224">
        <f>IF(L152="Use Local Value","Enter Local Value","")</f>
      </c>
      <c r="M153" s="226"/>
      <c r="N153" s="224">
        <f>IF(N152="Use Local Value","Enter Local Value","")</f>
      </c>
      <c r="O153" s="226"/>
      <c r="P153" s="224">
        <f>IF(P152="Use Local Value","Enter Local Value","")</f>
      </c>
      <c r="Q153" s="226"/>
      <c r="R153" s="222"/>
      <c r="S153" s="224">
        <f>IF(S152="Use Local Value","Enter Local Value","")</f>
      </c>
      <c r="T153" s="304"/>
      <c r="U153" s="222"/>
      <c r="V153" s="222"/>
      <c r="W153" s="245"/>
      <c r="X153" s="245"/>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7"/>
      <c r="BH153" s="247"/>
      <c r="BI153" s="246"/>
      <c r="BJ153" s="246"/>
      <c r="BK153" s="246"/>
      <c r="BL153" s="246"/>
      <c r="BM153" s="246"/>
      <c r="BN153" s="246"/>
      <c r="BO153" s="246"/>
      <c r="BP153" s="246"/>
      <c r="BQ153" s="246"/>
      <c r="BR153" s="246"/>
      <c r="BS153" s="246"/>
      <c r="BT153" s="246"/>
      <c r="BU153" s="246"/>
      <c r="BV153" s="246"/>
      <c r="BW153" s="246"/>
      <c r="BX153" s="246"/>
      <c r="BY153" s="246"/>
      <c r="BZ153" s="246"/>
      <c r="CA153" s="246"/>
      <c r="CB153" s="246"/>
      <c r="CC153" s="246"/>
      <c r="CD153" s="246"/>
      <c r="CE153" s="246"/>
      <c r="CF153" s="246"/>
      <c r="CG153" s="246"/>
      <c r="CH153" s="246"/>
      <c r="CI153" s="246"/>
      <c r="CJ153" s="246"/>
      <c r="CK153" s="246"/>
      <c r="CL153" s="246"/>
      <c r="CM153" s="246"/>
      <c r="CN153" s="246"/>
      <c r="CO153" s="246"/>
      <c r="CP153" s="246"/>
      <c r="CQ153" s="246"/>
      <c r="CR153" s="246"/>
      <c r="CS153" s="246"/>
      <c r="CT153" s="246"/>
      <c r="CU153" s="246"/>
      <c r="CV153" s="246"/>
    </row>
    <row r="154" spans="1:100" s="248" customFormat="1" ht="17.25" customHeight="1" thickBot="1">
      <c r="A154" s="272"/>
      <c r="B154" s="268"/>
      <c r="C154" s="249"/>
      <c r="D154" s="249"/>
      <c r="E154" s="249"/>
      <c r="F154" s="249"/>
      <c r="G154" s="249"/>
      <c r="H154" s="249"/>
      <c r="I154" s="249"/>
      <c r="J154" s="250"/>
      <c r="K154" s="251"/>
      <c r="L154" s="250"/>
      <c r="M154" s="252"/>
      <c r="N154" s="250"/>
      <c r="O154" s="252"/>
      <c r="P154" s="250"/>
      <c r="Q154" s="252"/>
      <c r="R154" s="249"/>
      <c r="S154" s="250"/>
      <c r="T154" s="305"/>
      <c r="U154" s="249"/>
      <c r="V154" s="249"/>
      <c r="W154" s="249"/>
      <c r="X154" s="276"/>
      <c r="Y154" s="283"/>
      <c r="Z154" s="283"/>
      <c r="AA154" s="283"/>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c r="AW154" s="283"/>
      <c r="AX154" s="283"/>
      <c r="AY154" s="283"/>
      <c r="AZ154" s="283"/>
      <c r="BA154" s="283"/>
      <c r="BB154" s="283"/>
      <c r="BC154" s="283"/>
      <c r="BD154" s="283"/>
      <c r="BE154" s="283"/>
      <c r="BF154" s="283"/>
      <c r="BG154" s="284"/>
      <c r="BH154" s="284"/>
      <c r="BI154" s="283"/>
      <c r="BJ154" s="283"/>
      <c r="BK154" s="283"/>
      <c r="BL154" s="283"/>
      <c r="BM154" s="283"/>
      <c r="BN154" s="283"/>
      <c r="BO154" s="283"/>
      <c r="BP154" s="283"/>
      <c r="BQ154" s="283"/>
      <c r="BR154" s="283"/>
      <c r="BS154" s="283"/>
      <c r="BT154" s="283"/>
      <c r="BU154" s="283"/>
      <c r="BV154" s="283"/>
      <c r="BW154" s="283"/>
      <c r="BX154" s="283"/>
      <c r="BY154" s="283"/>
      <c r="BZ154" s="283"/>
      <c r="CA154" s="283"/>
      <c r="CB154" s="283"/>
      <c r="CC154" s="283"/>
      <c r="CD154" s="283"/>
      <c r="CE154" s="283"/>
      <c r="CF154" s="283"/>
      <c r="CG154" s="283"/>
      <c r="CH154" s="283"/>
      <c r="CI154" s="283"/>
      <c r="CJ154" s="283"/>
      <c r="CK154" s="283"/>
      <c r="CL154" s="283"/>
      <c r="CM154" s="283"/>
      <c r="CN154" s="283"/>
      <c r="CO154" s="283"/>
      <c r="CP154" s="283"/>
      <c r="CQ154" s="283"/>
      <c r="CR154" s="283"/>
      <c r="CS154" s="283"/>
      <c r="CT154" s="283"/>
      <c r="CU154" s="283"/>
      <c r="CV154" s="283"/>
    </row>
    <row r="155" spans="1:100" s="253" customFormat="1" ht="15.75">
      <c r="A155" s="270" t="s">
        <v>30</v>
      </c>
      <c r="B155" s="266" t="s">
        <v>380</v>
      </c>
      <c r="C155" s="802">
        <f>IF(A155="No","",1-'RF model'!$C$14)</f>
      </c>
      <c r="D155" s="254"/>
      <c r="E155" s="255">
        <f>IF(A155="No","",0.6)</f>
      </c>
      <c r="F155" s="762" t="s">
        <v>17</v>
      </c>
      <c r="G155" s="256">
        <f>IF(A155="No","",IF(F155="Use Default",13.3*(VLOOKUP('Start Page'!$G$4,'RF Workings'!$E$3:$G$13,2)/'RF Workings'!$F$7),""))</f>
      </c>
      <c r="H155" s="762" t="s">
        <v>17</v>
      </c>
      <c r="I155" s="256">
        <f>IF(A155="No","",IF(H155="Use Default",0.7*(VLOOKUP('Start Page'!$G$4,'RF Workings'!$E$3:$G$13,2)/'RF Workings'!$F$7),""))</f>
      </c>
      <c r="J155" s="257" t="s">
        <v>17</v>
      </c>
      <c r="K155" s="801">
        <f>IF(A155="No","",IF(J155="Use Default",IF($F$1="Non-PTE",$AB$3,$AA$3),""))</f>
      </c>
      <c r="L155" s="258" t="s">
        <v>17</v>
      </c>
      <c r="M155" s="259">
        <f>IF(A155="No","",IF(L155="Use Default",IF($F$1="Non-PTE",$AB$4,$AA$4),""))</f>
      </c>
      <c r="N155" s="258" t="s">
        <v>17</v>
      </c>
      <c r="O155" s="800">
        <f>IF(A155="No","",IF(N155="Use Default",IF($F$1="Non-PTE",$AB$5,$AA$5),""))</f>
      </c>
      <c r="P155" s="258" t="s">
        <v>17</v>
      </c>
      <c r="Q155" s="801">
        <f>IF(A155="No","",(IF(P155="Use Default",IF($F$1="Non-PTE",$AB$6,$AA$6),"")))</f>
      </c>
      <c r="R155" s="260"/>
      <c r="S155" s="258" t="s">
        <v>17</v>
      </c>
      <c r="T155" s="303">
        <f>IF(A155="No","",IF(S155="Use Default",IF('MCC Model '!$F$1="Non-PTE",$AB$7,$AA$7),""))</f>
      </c>
      <c r="U155" s="255">
        <f>IF(A155="No","",0.66)</f>
      </c>
      <c r="V155" s="433">
        <f>IF(A155="Yes",(IF(BA155&lt;0,0,BA155)),"")</f>
      </c>
      <c r="W155" s="434">
        <f>IF(A155="Yes",V155*C155*D155,"")</f>
      </c>
      <c r="X155" s="275"/>
      <c r="Y155" s="278"/>
      <c r="Z155" s="278"/>
      <c r="AA155" s="278">
        <f>IF(F145="Non-PTE",AB152,AA152)</f>
        <v>6</v>
      </c>
      <c r="AB155" s="279" t="e">
        <f>IF(AND(N155="Use Default",P155="Use Default"),Q155/O155,IF(AND(N155="Use Local Value",P155="Use Default"),Q155/O156,IF(AND(N155="Use Default",P155="Use Local Value"),Q156/O155,IF(AND(N155="Use Local Value",P155="Use Local Value"),Q156/O156))))*IF($M155="",$M156,$M155)/IF($Q155="",Q156,$Q155)</f>
        <v>#VALUE!</v>
      </c>
      <c r="AC155" s="279" t="e">
        <f>AA155*AB155</f>
        <v>#VALUE!</v>
      </c>
      <c r="AD155" s="279" t="e">
        <f>1/IF(Q155="",Q156,Q155)</f>
        <v>#DIV/0!</v>
      </c>
      <c r="AE155" s="279" t="e">
        <f>AA155*((AC155+AD155)/AC155)^E155</f>
        <v>#VALUE!</v>
      </c>
      <c r="AF155" s="279" t="e">
        <f>AA155/((IF(K155="",K156,K155)/(IF(Q155="",Q156,Q155)*2)))</f>
        <v>#DIV/0!</v>
      </c>
      <c r="AG155" s="279" t="e">
        <f>AF155/2</f>
        <v>#DIV/0!</v>
      </c>
      <c r="AH155" s="279" t="e">
        <f>AE155/((IF(K155="",K156,K155)/(IF(Q155="",Q156,Q155)*2)))</f>
        <v>#VALUE!</v>
      </c>
      <c r="AI155" s="279" t="e">
        <f>AH155/2</f>
        <v>#VALUE!</v>
      </c>
      <c r="AJ155" s="279" t="e">
        <f>AI155-AG155</f>
        <v>#VALUE!</v>
      </c>
      <c r="AK155" s="280" t="e">
        <f>AJ155*IF(F155="Use Default",G155,G156)</f>
        <v>#VALUE!</v>
      </c>
      <c r="AL155" s="279" t="e">
        <f>AA155*IF(K155="",K156,K155)/((IF(K155="",K156,K155)/(IF(Q155="",Q156,Q155)*2)))</f>
        <v>#DIV/0!</v>
      </c>
      <c r="AM155" s="278" t="e">
        <f>AL155/2</f>
        <v>#DIV/0!</v>
      </c>
      <c r="AN155" s="279" t="e">
        <f>AE155*IF(K155="",K156,K155)/((IF(K155="",K156,K155)/(IF(Q155="",Q156,Q155)*2)))</f>
        <v>#VALUE!</v>
      </c>
      <c r="AO155" s="278" t="e">
        <f>AN155/2</f>
        <v>#VALUE!</v>
      </c>
      <c r="AP155" s="278" t="e">
        <f>AO155-AM155</f>
        <v>#VALUE!</v>
      </c>
      <c r="AQ155" s="280" t="e">
        <f>AP155*IF(H155="Use Default",I155,I156)</f>
        <v>#VALUE!</v>
      </c>
      <c r="AR155" s="280" t="e">
        <f>AQ155+AK155</f>
        <v>#VALUE!</v>
      </c>
      <c r="AS155" s="281" t="e">
        <f>(AE155-AA155)/AA155</f>
        <v>#VALUE!</v>
      </c>
      <c r="AT155" s="281" t="e">
        <f>AS155*U155</f>
        <v>#VALUE!</v>
      </c>
      <c r="AU155" s="282" t="e">
        <f>AC155*IF(Q155="",Q156,Q155)*2</f>
        <v>#VALUE!</v>
      </c>
      <c r="AV155" s="278" t="e">
        <f>AU155/2</f>
        <v>#VALUE!</v>
      </c>
      <c r="AW155" s="282" t="e">
        <f>AV155*IF(T155="",T156,T155)</f>
        <v>#VALUE!</v>
      </c>
      <c r="AX155" s="279" t="e">
        <f>AW155*AT155</f>
        <v>#VALUE!</v>
      </c>
      <c r="AY155" s="280" t="e">
        <f>AX155*R155</f>
        <v>#VALUE!</v>
      </c>
      <c r="AZ155" s="280" t="e">
        <f>AX155*'AC model'!$D$18</f>
        <v>#VALUE!</v>
      </c>
      <c r="BA155" s="280" t="e">
        <f>AR155-AY155+AZ155</f>
        <v>#VALUE!</v>
      </c>
      <c r="BB155" s="278"/>
      <c r="BC155" s="278"/>
      <c r="BD155" s="278"/>
      <c r="BE155" s="278"/>
      <c r="BF155" s="278"/>
      <c r="BG155" s="278"/>
      <c r="BH155" s="278"/>
      <c r="BI155" s="278"/>
      <c r="BJ155" s="278"/>
      <c r="BK155" s="278"/>
      <c r="BL155" s="278"/>
      <c r="BM155" s="278"/>
      <c r="BN155" s="278"/>
      <c r="BO155" s="278"/>
      <c r="BP155" s="278"/>
      <c r="BQ155" s="278"/>
      <c r="BR155" s="278"/>
      <c r="BS155" s="278"/>
      <c r="BT155" s="278"/>
      <c r="BU155" s="278"/>
      <c r="BV155" s="278"/>
      <c r="BW155" s="278"/>
      <c r="BX155" s="278"/>
      <c r="BY155" s="278"/>
      <c r="BZ155" s="278"/>
      <c r="CA155" s="278"/>
      <c r="CB155" s="278"/>
      <c r="CC155" s="278"/>
      <c r="CD155" s="278"/>
      <c r="CE155" s="278"/>
      <c r="CF155" s="278"/>
      <c r="CG155" s="278"/>
      <c r="CH155" s="278"/>
      <c r="CI155" s="278"/>
      <c r="CJ155" s="278"/>
      <c r="CK155" s="278"/>
      <c r="CL155" s="278"/>
      <c r="CM155" s="278"/>
      <c r="CN155" s="278"/>
      <c r="CO155" s="278"/>
      <c r="CP155" s="278"/>
      <c r="CQ155" s="278"/>
      <c r="CR155" s="278"/>
      <c r="CS155" s="278"/>
      <c r="CT155" s="278"/>
      <c r="CU155" s="278"/>
      <c r="CV155" s="278"/>
    </row>
    <row r="156" spans="1:100" s="231" customFormat="1" ht="15.75">
      <c r="A156" s="271"/>
      <c r="B156" s="267"/>
      <c r="C156" s="222"/>
      <c r="D156" s="222"/>
      <c r="E156" s="222"/>
      <c r="F156" s="224">
        <f>IF(F155="Use Local Value","Enter Local Value","")</f>
      </c>
      <c r="G156" s="763"/>
      <c r="H156" s="224">
        <f>IF(H155="Use Local Value","Enter Local Value","")</f>
      </c>
      <c r="I156" s="763"/>
      <c r="J156" s="224">
        <f>IF(J155="Use Local Value","Enter Local Value","")</f>
      </c>
      <c r="K156" s="225"/>
      <c r="L156" s="224">
        <f>IF(L155="Use Local Value","Enter Local Value","")</f>
      </c>
      <c r="M156" s="226"/>
      <c r="N156" s="224">
        <f>IF(N155="Use Local Value","Enter Local Value","")</f>
      </c>
      <c r="O156" s="226"/>
      <c r="P156" s="224">
        <f>IF(P155="Use Local Value","Enter Local Value","")</f>
      </c>
      <c r="Q156" s="226"/>
      <c r="R156" s="222"/>
      <c r="S156" s="224">
        <f>IF(S155="Use Local Value","Enter Local Value","")</f>
      </c>
      <c r="T156" s="304"/>
      <c r="U156" s="222"/>
      <c r="V156" s="222"/>
      <c r="W156" s="245"/>
      <c r="X156" s="245"/>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7"/>
      <c r="BH156" s="247"/>
      <c r="BI156" s="246"/>
      <c r="BJ156" s="246"/>
      <c r="BK156" s="246"/>
      <c r="BL156" s="246"/>
      <c r="BM156" s="246"/>
      <c r="BN156" s="246"/>
      <c r="BO156" s="246"/>
      <c r="BP156" s="246"/>
      <c r="BQ156" s="246"/>
      <c r="BR156" s="246"/>
      <c r="BS156" s="246"/>
      <c r="BT156" s="246"/>
      <c r="BU156" s="246"/>
      <c r="BV156" s="246"/>
      <c r="BW156" s="246"/>
      <c r="BX156" s="246"/>
      <c r="BY156" s="246"/>
      <c r="BZ156" s="246"/>
      <c r="CA156" s="246"/>
      <c r="CB156" s="246"/>
      <c r="CC156" s="246"/>
      <c r="CD156" s="246"/>
      <c r="CE156" s="246"/>
      <c r="CF156" s="246"/>
      <c r="CG156" s="246"/>
      <c r="CH156" s="246"/>
      <c r="CI156" s="246"/>
      <c r="CJ156" s="246"/>
      <c r="CK156" s="246"/>
      <c r="CL156" s="246"/>
      <c r="CM156" s="246"/>
      <c r="CN156" s="246"/>
      <c r="CO156" s="246"/>
      <c r="CP156" s="246"/>
      <c r="CQ156" s="246"/>
      <c r="CR156" s="246"/>
      <c r="CS156" s="246"/>
      <c r="CT156" s="246"/>
      <c r="CU156" s="246"/>
      <c r="CV156" s="246"/>
    </row>
    <row r="157" spans="1:100" s="248" customFormat="1" ht="17.25" customHeight="1" thickBot="1">
      <c r="A157" s="272"/>
      <c r="B157" s="268"/>
      <c r="C157" s="249"/>
      <c r="D157" s="249"/>
      <c r="E157" s="249"/>
      <c r="F157" s="249"/>
      <c r="G157" s="249"/>
      <c r="H157" s="249"/>
      <c r="I157" s="249"/>
      <c r="J157" s="250"/>
      <c r="K157" s="251"/>
      <c r="L157" s="250"/>
      <c r="M157" s="252"/>
      <c r="N157" s="250"/>
      <c r="O157" s="252"/>
      <c r="P157" s="250"/>
      <c r="Q157" s="252"/>
      <c r="R157" s="249"/>
      <c r="S157" s="250"/>
      <c r="T157" s="305"/>
      <c r="U157" s="249"/>
      <c r="V157" s="249"/>
      <c r="W157" s="249"/>
      <c r="X157" s="276"/>
      <c r="Y157" s="283"/>
      <c r="Z157" s="283"/>
      <c r="AA157" s="283"/>
      <c r="AB157" s="283"/>
      <c r="AC157" s="283"/>
      <c r="AD157" s="283"/>
      <c r="AE157" s="283"/>
      <c r="AF157" s="283"/>
      <c r="AG157" s="283"/>
      <c r="AH157" s="283"/>
      <c r="AI157" s="283"/>
      <c r="AJ157" s="283"/>
      <c r="AK157" s="283"/>
      <c r="AL157" s="283"/>
      <c r="AM157" s="283"/>
      <c r="AN157" s="283"/>
      <c r="AO157" s="283"/>
      <c r="AP157" s="283"/>
      <c r="AQ157" s="283"/>
      <c r="AR157" s="283"/>
      <c r="AS157" s="283"/>
      <c r="AT157" s="283"/>
      <c r="AU157" s="283"/>
      <c r="AV157" s="283"/>
      <c r="AW157" s="283"/>
      <c r="AX157" s="283"/>
      <c r="AY157" s="283"/>
      <c r="AZ157" s="283"/>
      <c r="BA157" s="283"/>
      <c r="BB157" s="283"/>
      <c r="BC157" s="283"/>
      <c r="BD157" s="283"/>
      <c r="BE157" s="283"/>
      <c r="BF157" s="283"/>
      <c r="BG157" s="284"/>
      <c r="BH157" s="284"/>
      <c r="BI157" s="283"/>
      <c r="BJ157" s="283"/>
      <c r="BK157" s="283"/>
      <c r="BL157" s="283"/>
      <c r="BM157" s="283"/>
      <c r="BN157" s="283"/>
      <c r="BO157" s="283"/>
      <c r="BP157" s="283"/>
      <c r="BQ157" s="283"/>
      <c r="BR157" s="283"/>
      <c r="BS157" s="283"/>
      <c r="BT157" s="283"/>
      <c r="BU157" s="283"/>
      <c r="BV157" s="283"/>
      <c r="BW157" s="283"/>
      <c r="BX157" s="283"/>
      <c r="BY157" s="283"/>
      <c r="BZ157" s="283"/>
      <c r="CA157" s="283"/>
      <c r="CB157" s="283"/>
      <c r="CC157" s="283"/>
      <c r="CD157" s="283"/>
      <c r="CE157" s="283"/>
      <c r="CF157" s="283"/>
      <c r="CG157" s="283"/>
      <c r="CH157" s="283"/>
      <c r="CI157" s="283"/>
      <c r="CJ157" s="283"/>
      <c r="CK157" s="283"/>
      <c r="CL157" s="283"/>
      <c r="CM157" s="283"/>
      <c r="CN157" s="283"/>
      <c r="CO157" s="283"/>
      <c r="CP157" s="283"/>
      <c r="CQ157" s="283"/>
      <c r="CR157" s="283"/>
      <c r="CS157" s="283"/>
      <c r="CT157" s="283"/>
      <c r="CU157" s="283"/>
      <c r="CV157" s="283"/>
    </row>
    <row r="158" spans="1:100" s="253" customFormat="1" ht="15.75">
      <c r="A158" s="270" t="s">
        <v>30</v>
      </c>
      <c r="B158" s="266" t="s">
        <v>380</v>
      </c>
      <c r="C158" s="802">
        <f>IF(A158="No","",1-'RF model'!$C$14)</f>
      </c>
      <c r="D158" s="254"/>
      <c r="E158" s="255">
        <f>IF(A158="No","",0.6)</f>
      </c>
      <c r="F158" s="762" t="s">
        <v>17</v>
      </c>
      <c r="G158" s="256">
        <f>IF(A158="No","",IF(F158="Use Default",13.3*(VLOOKUP('Start Page'!$G$4,'RF Workings'!$E$3:$G$13,2)/'RF Workings'!$F$7),""))</f>
      </c>
      <c r="H158" s="762" t="s">
        <v>17</v>
      </c>
      <c r="I158" s="256">
        <f>IF(A158="No","",IF(H158="Use Default",0.7*(VLOOKUP('Start Page'!$G$4,'RF Workings'!$E$3:$G$13,2)/'RF Workings'!$F$7),""))</f>
      </c>
      <c r="J158" s="257" t="s">
        <v>17</v>
      </c>
      <c r="K158" s="801">
        <f>IF(A158="No","",IF(J158="Use Default",IF($F$1="Non-PTE",$AB$3,$AA$3),""))</f>
      </c>
      <c r="L158" s="258" t="s">
        <v>17</v>
      </c>
      <c r="M158" s="259">
        <f>IF(A158="No","",IF(L158="Use Default",IF($F$1="Non-PTE",$AB$4,$AA$4),""))</f>
      </c>
      <c r="N158" s="258" t="s">
        <v>17</v>
      </c>
      <c r="O158" s="800">
        <f>IF(A158="No","",IF(N158="Use Default",IF($F$1="Non-PTE",$AB$5,$AA$5),""))</f>
      </c>
      <c r="P158" s="258" t="s">
        <v>17</v>
      </c>
      <c r="Q158" s="801">
        <f>IF(A158="No","",(IF(P158="Use Default",IF($F$1="Non-PTE",$AB$6,$AA$6),"")))</f>
      </c>
      <c r="R158" s="260"/>
      <c r="S158" s="258" t="s">
        <v>17</v>
      </c>
      <c r="T158" s="303">
        <f>IF(A158="No","",IF(S158="Use Default",IF('MCC Model '!$F$1="Non-PTE",$AB$7,$AA$7),""))</f>
      </c>
      <c r="U158" s="255">
        <f>IF(A158="No","",0.66)</f>
      </c>
      <c r="V158" s="433">
        <f>IF(A158="Yes",(IF(BA158&lt;0,0,BA158)),"")</f>
      </c>
      <c r="W158" s="434">
        <f>IF(A158="Yes",V158*C158*D158,"")</f>
      </c>
      <c r="X158" s="275"/>
      <c r="Y158" s="278"/>
      <c r="Z158" s="278"/>
      <c r="AA158" s="278">
        <f>IF(F148="Non-PTE",AB155,AA155)</f>
        <v>6</v>
      </c>
      <c r="AB158" s="279" t="e">
        <f>IF(AND(N158="Use Default",P158="Use Default"),Q158/O158,IF(AND(N158="Use Local Value",P158="Use Default"),Q158/O159,IF(AND(N158="Use Default",P158="Use Local Value"),Q159/O158,IF(AND(N158="Use Local Value",P158="Use Local Value"),Q159/O159))))*IF($M158="",$M159,$M158)/IF($Q158="",Q159,$Q158)</f>
        <v>#VALUE!</v>
      </c>
      <c r="AC158" s="279" t="e">
        <f>AA158*AB158</f>
        <v>#VALUE!</v>
      </c>
      <c r="AD158" s="279" t="e">
        <f>1/IF(Q158="",Q159,Q158)</f>
        <v>#DIV/0!</v>
      </c>
      <c r="AE158" s="279" t="e">
        <f>AA158*((AC158+AD158)/AC158)^E158</f>
        <v>#VALUE!</v>
      </c>
      <c r="AF158" s="279" t="e">
        <f>AA158/((IF(K158="",K159,K158)/(IF(Q158="",Q159,Q158)*2)))</f>
        <v>#DIV/0!</v>
      </c>
      <c r="AG158" s="279" t="e">
        <f>AF158/2</f>
        <v>#DIV/0!</v>
      </c>
      <c r="AH158" s="279" t="e">
        <f>AE158/((IF(K158="",K159,K158)/(IF(Q158="",Q159,Q158)*2)))</f>
        <v>#VALUE!</v>
      </c>
      <c r="AI158" s="279" t="e">
        <f>AH158/2</f>
        <v>#VALUE!</v>
      </c>
      <c r="AJ158" s="279" t="e">
        <f>AI158-AG158</f>
        <v>#VALUE!</v>
      </c>
      <c r="AK158" s="280" t="e">
        <f>AJ158*IF(F158="Use Default",G158,G159)</f>
        <v>#VALUE!</v>
      </c>
      <c r="AL158" s="279" t="e">
        <f>AA158*IF(K158="",K159,K158)/((IF(K158="",K159,K158)/(IF(Q158="",Q159,Q158)*2)))</f>
        <v>#DIV/0!</v>
      </c>
      <c r="AM158" s="278" t="e">
        <f>AL158/2</f>
        <v>#DIV/0!</v>
      </c>
      <c r="AN158" s="279" t="e">
        <f>AE158*IF(K158="",K159,K158)/((IF(K158="",K159,K158)/(IF(Q158="",Q159,Q158)*2)))</f>
        <v>#VALUE!</v>
      </c>
      <c r="AO158" s="278" t="e">
        <f>AN158/2</f>
        <v>#VALUE!</v>
      </c>
      <c r="AP158" s="278" t="e">
        <f>AO158-AM158</f>
        <v>#VALUE!</v>
      </c>
      <c r="AQ158" s="280" t="e">
        <f>AP158*IF(H158="Use Default",I158,I159)</f>
        <v>#VALUE!</v>
      </c>
      <c r="AR158" s="280" t="e">
        <f>AQ158+AK158</f>
        <v>#VALUE!</v>
      </c>
      <c r="AS158" s="281" t="e">
        <f>(AE158-AA158)/AA158</f>
        <v>#VALUE!</v>
      </c>
      <c r="AT158" s="281" t="e">
        <f>AS158*U158</f>
        <v>#VALUE!</v>
      </c>
      <c r="AU158" s="282" t="e">
        <f>AC158*IF(Q158="",Q159,Q158)*2</f>
        <v>#VALUE!</v>
      </c>
      <c r="AV158" s="278" t="e">
        <f>AU158/2</f>
        <v>#VALUE!</v>
      </c>
      <c r="AW158" s="282" t="e">
        <f>AV158*IF(T158="",T159,T158)</f>
        <v>#VALUE!</v>
      </c>
      <c r="AX158" s="279" t="e">
        <f>AW158*AT158</f>
        <v>#VALUE!</v>
      </c>
      <c r="AY158" s="280" t="e">
        <f>AX158*R158</f>
        <v>#VALUE!</v>
      </c>
      <c r="AZ158" s="280" t="e">
        <f>AX158*'AC model'!$D$18</f>
        <v>#VALUE!</v>
      </c>
      <c r="BA158" s="280" t="e">
        <f>AR158-AY158+AZ158</f>
        <v>#VALUE!</v>
      </c>
      <c r="BB158" s="278"/>
      <c r="BC158" s="278"/>
      <c r="BD158" s="278"/>
      <c r="BE158" s="278"/>
      <c r="BF158" s="278"/>
      <c r="BG158" s="278"/>
      <c r="BH158" s="278"/>
      <c r="BI158" s="278"/>
      <c r="BJ158" s="278"/>
      <c r="BK158" s="278"/>
      <c r="BL158" s="278"/>
      <c r="BM158" s="278"/>
      <c r="BN158" s="278"/>
      <c r="BO158" s="278"/>
      <c r="BP158" s="278"/>
      <c r="BQ158" s="278"/>
      <c r="BR158" s="278"/>
      <c r="BS158" s="278"/>
      <c r="BT158" s="278"/>
      <c r="BU158" s="278"/>
      <c r="BV158" s="278"/>
      <c r="BW158" s="278"/>
      <c r="BX158" s="278"/>
      <c r="BY158" s="278"/>
      <c r="BZ158" s="278"/>
      <c r="CA158" s="278"/>
      <c r="CB158" s="278"/>
      <c r="CC158" s="278"/>
      <c r="CD158" s="278"/>
      <c r="CE158" s="278"/>
      <c r="CF158" s="278"/>
      <c r="CG158" s="278"/>
      <c r="CH158" s="278"/>
      <c r="CI158" s="278"/>
      <c r="CJ158" s="278"/>
      <c r="CK158" s="278"/>
      <c r="CL158" s="278"/>
      <c r="CM158" s="278"/>
      <c r="CN158" s="278"/>
      <c r="CO158" s="278"/>
      <c r="CP158" s="278"/>
      <c r="CQ158" s="278"/>
      <c r="CR158" s="278"/>
      <c r="CS158" s="278"/>
      <c r="CT158" s="278"/>
      <c r="CU158" s="278"/>
      <c r="CV158" s="278"/>
    </row>
    <row r="159" spans="1:100" s="231" customFormat="1" ht="15.75">
      <c r="A159" s="271"/>
      <c r="B159" s="267"/>
      <c r="C159" s="222"/>
      <c r="D159" s="222"/>
      <c r="E159" s="222"/>
      <c r="F159" s="224">
        <f>IF(F158="Use Local Value","Enter Local Value","")</f>
      </c>
      <c r="G159" s="763"/>
      <c r="H159" s="224">
        <f>IF(H158="Use Local Value","Enter Local Value","")</f>
      </c>
      <c r="I159" s="763"/>
      <c r="J159" s="224">
        <f>IF(J158="Use Local Value","Enter Local Value","")</f>
      </c>
      <c r="K159" s="225"/>
      <c r="L159" s="224">
        <f>IF(L158="Use Local Value","Enter Local Value","")</f>
      </c>
      <c r="M159" s="226"/>
      <c r="N159" s="224">
        <f>IF(N158="Use Local Value","Enter Local Value","")</f>
      </c>
      <c r="O159" s="226"/>
      <c r="P159" s="224">
        <f>IF(P158="Use Local Value","Enter Local Value","")</f>
      </c>
      <c r="Q159" s="226"/>
      <c r="R159" s="222"/>
      <c r="S159" s="224">
        <f>IF(S158="Use Local Value","Enter Local Value","")</f>
      </c>
      <c r="T159" s="304"/>
      <c r="U159" s="222"/>
      <c r="V159" s="222"/>
      <c r="W159" s="245"/>
      <c r="X159" s="245"/>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7"/>
      <c r="BH159" s="247"/>
      <c r="BI159" s="246"/>
      <c r="BJ159" s="246"/>
      <c r="BK159" s="246"/>
      <c r="BL159" s="246"/>
      <c r="BM159" s="246"/>
      <c r="BN159" s="246"/>
      <c r="BO159" s="246"/>
      <c r="BP159" s="246"/>
      <c r="BQ159" s="246"/>
      <c r="BR159" s="246"/>
      <c r="BS159" s="246"/>
      <c r="BT159" s="246"/>
      <c r="BU159" s="246"/>
      <c r="BV159" s="246"/>
      <c r="BW159" s="246"/>
      <c r="BX159" s="246"/>
      <c r="BY159" s="246"/>
      <c r="BZ159" s="246"/>
      <c r="CA159" s="246"/>
      <c r="CB159" s="246"/>
      <c r="CC159" s="246"/>
      <c r="CD159" s="246"/>
      <c r="CE159" s="246"/>
      <c r="CF159" s="246"/>
      <c r="CG159" s="246"/>
      <c r="CH159" s="246"/>
      <c r="CI159" s="246"/>
      <c r="CJ159" s="246"/>
      <c r="CK159" s="246"/>
      <c r="CL159" s="246"/>
      <c r="CM159" s="246"/>
      <c r="CN159" s="246"/>
      <c r="CO159" s="246"/>
      <c r="CP159" s="246"/>
      <c r="CQ159" s="246"/>
      <c r="CR159" s="246"/>
      <c r="CS159" s="246"/>
      <c r="CT159" s="246"/>
      <c r="CU159" s="246"/>
      <c r="CV159" s="246"/>
    </row>
    <row r="160" spans="1:100" s="248" customFormat="1" ht="17.25" customHeight="1" thickBot="1">
      <c r="A160" s="272"/>
      <c r="B160" s="268"/>
      <c r="C160" s="249"/>
      <c r="D160" s="249"/>
      <c r="E160" s="249"/>
      <c r="F160" s="249"/>
      <c r="G160" s="249"/>
      <c r="H160" s="249"/>
      <c r="I160" s="249"/>
      <c r="J160" s="250"/>
      <c r="K160" s="251"/>
      <c r="L160" s="250"/>
      <c r="M160" s="252"/>
      <c r="N160" s="250"/>
      <c r="O160" s="252"/>
      <c r="P160" s="250"/>
      <c r="Q160" s="252"/>
      <c r="R160" s="249"/>
      <c r="S160" s="250"/>
      <c r="T160" s="305"/>
      <c r="U160" s="249"/>
      <c r="V160" s="249"/>
      <c r="W160" s="249"/>
      <c r="X160" s="276"/>
      <c r="Y160" s="283"/>
      <c r="Z160" s="283"/>
      <c r="AA160" s="283"/>
      <c r="AB160" s="283"/>
      <c r="AC160" s="283"/>
      <c r="AD160" s="283"/>
      <c r="AE160" s="283"/>
      <c r="AF160" s="283"/>
      <c r="AG160" s="283"/>
      <c r="AH160" s="283"/>
      <c r="AI160" s="283"/>
      <c r="AJ160" s="283"/>
      <c r="AK160" s="283"/>
      <c r="AL160" s="283"/>
      <c r="AM160" s="283"/>
      <c r="AN160" s="283"/>
      <c r="AO160" s="283"/>
      <c r="AP160" s="283"/>
      <c r="AQ160" s="283"/>
      <c r="AR160" s="283"/>
      <c r="AS160" s="283"/>
      <c r="AT160" s="283"/>
      <c r="AU160" s="283"/>
      <c r="AV160" s="283"/>
      <c r="AW160" s="283"/>
      <c r="AX160" s="283"/>
      <c r="AY160" s="283"/>
      <c r="AZ160" s="283"/>
      <c r="BA160" s="283"/>
      <c r="BB160" s="283"/>
      <c r="BC160" s="283"/>
      <c r="BD160" s="283"/>
      <c r="BE160" s="283"/>
      <c r="BF160" s="283"/>
      <c r="BG160" s="284"/>
      <c r="BH160" s="284"/>
      <c r="BI160" s="283"/>
      <c r="BJ160" s="283"/>
      <c r="BK160" s="283"/>
      <c r="BL160" s="283"/>
      <c r="BM160" s="283"/>
      <c r="BN160" s="283"/>
      <c r="BO160" s="283"/>
      <c r="BP160" s="283"/>
      <c r="BQ160" s="283"/>
      <c r="BR160" s="283"/>
      <c r="BS160" s="283"/>
      <c r="BT160" s="283"/>
      <c r="BU160" s="283"/>
      <c r="BV160" s="283"/>
      <c r="BW160" s="283"/>
      <c r="BX160" s="283"/>
      <c r="BY160" s="283"/>
      <c r="BZ160" s="283"/>
      <c r="CA160" s="283"/>
      <c r="CB160" s="283"/>
      <c r="CC160" s="283"/>
      <c r="CD160" s="283"/>
      <c r="CE160" s="283"/>
      <c r="CF160" s="283"/>
      <c r="CG160" s="283"/>
      <c r="CH160" s="283"/>
      <c r="CI160" s="283"/>
      <c r="CJ160" s="283"/>
      <c r="CK160" s="283"/>
      <c r="CL160" s="283"/>
      <c r="CM160" s="283"/>
      <c r="CN160" s="283"/>
      <c r="CO160" s="283"/>
      <c r="CP160" s="283"/>
      <c r="CQ160" s="283"/>
      <c r="CR160" s="283"/>
      <c r="CS160" s="283"/>
      <c r="CT160" s="283"/>
      <c r="CU160" s="283"/>
      <c r="CV160" s="283"/>
    </row>
    <row r="161" spans="1:100" ht="15.75">
      <c r="A161" s="273"/>
      <c r="B161" s="274"/>
      <c r="C161" s="164"/>
      <c r="D161" s="164"/>
      <c r="E161" s="164"/>
      <c r="F161" s="164"/>
      <c r="G161" s="164"/>
      <c r="H161" s="164"/>
      <c r="I161" s="164"/>
      <c r="J161" s="164"/>
      <c r="K161" s="164"/>
      <c r="L161" s="164"/>
      <c r="M161" s="164"/>
      <c r="N161" s="164"/>
      <c r="O161" s="164"/>
      <c r="P161" s="164"/>
      <c r="Q161" s="164"/>
      <c r="R161" s="164"/>
      <c r="S161" s="164"/>
      <c r="T161" s="164"/>
      <c r="U161" s="164"/>
      <c r="V161" s="164"/>
      <c r="W161" s="242"/>
      <c r="X161" s="242"/>
      <c r="Y161" s="243"/>
      <c r="Z161" s="243"/>
      <c r="AA161" s="243"/>
      <c r="AB161" s="279"/>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c r="BZ161" s="243"/>
      <c r="CA161" s="243"/>
      <c r="CB161" s="243"/>
      <c r="CC161" s="243"/>
      <c r="CD161" s="243"/>
      <c r="CE161" s="243"/>
      <c r="CF161" s="243"/>
      <c r="CG161" s="243"/>
      <c r="CH161" s="243"/>
      <c r="CI161" s="243"/>
      <c r="CJ161" s="243"/>
      <c r="CK161" s="243"/>
      <c r="CL161" s="243"/>
      <c r="CM161" s="243"/>
      <c r="CN161" s="243"/>
      <c r="CO161" s="243"/>
      <c r="CP161" s="243"/>
      <c r="CQ161" s="243"/>
      <c r="CR161" s="243"/>
      <c r="CS161" s="243"/>
      <c r="CT161" s="243"/>
      <c r="CU161" s="243"/>
      <c r="CV161" s="243"/>
    </row>
    <row r="162" spans="1:100" ht="15.75">
      <c r="A162" s="273"/>
      <c r="B162" s="274"/>
      <c r="C162" s="164"/>
      <c r="D162" s="164"/>
      <c r="E162" s="164"/>
      <c r="F162" s="164"/>
      <c r="G162" s="164"/>
      <c r="H162" s="164"/>
      <c r="I162" s="164"/>
      <c r="J162" s="164"/>
      <c r="K162" s="164"/>
      <c r="L162" s="164"/>
      <c r="M162" s="164"/>
      <c r="N162" s="164"/>
      <c r="O162" s="164"/>
      <c r="P162" s="164"/>
      <c r="Q162" s="164"/>
      <c r="R162" s="164"/>
      <c r="S162" s="164"/>
      <c r="T162" s="164"/>
      <c r="U162" s="164"/>
      <c r="V162" s="164"/>
      <c r="W162" s="242"/>
      <c r="X162" s="242"/>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c r="BZ162" s="243"/>
      <c r="CA162" s="243"/>
      <c r="CB162" s="243"/>
      <c r="CC162" s="243"/>
      <c r="CD162" s="243"/>
      <c r="CE162" s="243"/>
      <c r="CF162" s="243"/>
      <c r="CG162" s="243"/>
      <c r="CH162" s="243"/>
      <c r="CI162" s="243"/>
      <c r="CJ162" s="243"/>
      <c r="CK162" s="243"/>
      <c r="CL162" s="243"/>
      <c r="CM162" s="243"/>
      <c r="CN162" s="243"/>
      <c r="CO162" s="243"/>
      <c r="CP162" s="243"/>
      <c r="CQ162" s="243"/>
      <c r="CR162" s="243"/>
      <c r="CS162" s="243"/>
      <c r="CT162" s="243"/>
      <c r="CU162" s="243"/>
      <c r="CV162" s="243"/>
    </row>
    <row r="163" spans="1:100" ht="15.75">
      <c r="A163" s="273"/>
      <c r="B163" s="274"/>
      <c r="C163" s="164"/>
      <c r="D163" s="164"/>
      <c r="E163" s="164"/>
      <c r="F163" s="164"/>
      <c r="G163" s="164"/>
      <c r="H163" s="164"/>
      <c r="I163" s="164"/>
      <c r="J163" s="164"/>
      <c r="K163" s="164"/>
      <c r="L163" s="164"/>
      <c r="M163" s="164"/>
      <c r="N163" s="164"/>
      <c r="O163" s="164"/>
      <c r="P163" s="164"/>
      <c r="Q163" s="164"/>
      <c r="R163" s="164"/>
      <c r="S163" s="164"/>
      <c r="T163" s="164"/>
      <c r="U163" s="164"/>
      <c r="V163" s="164"/>
      <c r="W163" s="242"/>
      <c r="X163" s="242"/>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c r="BZ163" s="243"/>
      <c r="CA163" s="243"/>
      <c r="CB163" s="243"/>
      <c r="CC163" s="243"/>
      <c r="CD163" s="243"/>
      <c r="CE163" s="243"/>
      <c r="CF163" s="243"/>
      <c r="CG163" s="243"/>
      <c r="CH163" s="243"/>
      <c r="CI163" s="243"/>
      <c r="CJ163" s="243"/>
      <c r="CK163" s="243"/>
      <c r="CL163" s="243"/>
      <c r="CM163" s="243"/>
      <c r="CN163" s="243"/>
      <c r="CO163" s="243"/>
      <c r="CP163" s="243"/>
      <c r="CQ163" s="243"/>
      <c r="CR163" s="243"/>
      <c r="CS163" s="243"/>
      <c r="CT163" s="243"/>
      <c r="CU163" s="243"/>
      <c r="CV163" s="243"/>
    </row>
    <row r="164" spans="1:100" ht="15.75">
      <c r="A164" s="273"/>
      <c r="B164" s="274"/>
      <c r="C164" s="164"/>
      <c r="D164" s="164"/>
      <c r="E164" s="164"/>
      <c r="F164" s="164"/>
      <c r="G164" s="164"/>
      <c r="H164" s="164"/>
      <c r="I164" s="164"/>
      <c r="J164" s="164"/>
      <c r="K164" s="164"/>
      <c r="L164" s="164"/>
      <c r="M164" s="164"/>
      <c r="N164" s="164"/>
      <c r="O164" s="164"/>
      <c r="P164" s="164"/>
      <c r="Q164" s="164"/>
      <c r="R164" s="164"/>
      <c r="S164" s="164"/>
      <c r="T164" s="164"/>
      <c r="U164" s="164"/>
      <c r="V164" s="164"/>
      <c r="W164" s="242"/>
      <c r="X164" s="242"/>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3"/>
      <c r="CA164" s="243"/>
      <c r="CB164" s="243"/>
      <c r="CC164" s="243"/>
      <c r="CD164" s="243"/>
      <c r="CE164" s="243"/>
      <c r="CF164" s="243"/>
      <c r="CG164" s="243"/>
      <c r="CH164" s="243"/>
      <c r="CI164" s="243"/>
      <c r="CJ164" s="243"/>
      <c r="CK164" s="243"/>
      <c r="CL164" s="243"/>
      <c r="CM164" s="243"/>
      <c r="CN164" s="243"/>
      <c r="CO164" s="243"/>
      <c r="CP164" s="243"/>
      <c r="CQ164" s="243"/>
      <c r="CR164" s="243"/>
      <c r="CS164" s="243"/>
      <c r="CT164" s="243"/>
      <c r="CU164" s="243"/>
      <c r="CV164" s="243"/>
    </row>
    <row r="165" spans="1:100" ht="15.75">
      <c r="A165" s="273"/>
      <c r="B165" s="274"/>
      <c r="C165" s="164"/>
      <c r="D165" s="164"/>
      <c r="E165" s="164"/>
      <c r="F165" s="164"/>
      <c r="G165" s="164"/>
      <c r="H165" s="164"/>
      <c r="I165" s="164"/>
      <c r="J165" s="164"/>
      <c r="K165" s="164"/>
      <c r="L165" s="164"/>
      <c r="M165" s="164"/>
      <c r="N165" s="164"/>
      <c r="O165" s="164"/>
      <c r="P165" s="164"/>
      <c r="Q165" s="164"/>
      <c r="R165" s="164"/>
      <c r="S165" s="164"/>
      <c r="T165" s="164"/>
      <c r="U165" s="164"/>
      <c r="V165" s="164"/>
      <c r="W165" s="242"/>
      <c r="X165" s="242"/>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c r="BZ165" s="243"/>
      <c r="CA165" s="243"/>
      <c r="CB165" s="243"/>
      <c r="CC165" s="243"/>
      <c r="CD165" s="243"/>
      <c r="CE165" s="243"/>
      <c r="CF165" s="243"/>
      <c r="CG165" s="243"/>
      <c r="CH165" s="243"/>
      <c r="CI165" s="243"/>
      <c r="CJ165" s="243"/>
      <c r="CK165" s="243"/>
      <c r="CL165" s="243"/>
      <c r="CM165" s="243"/>
      <c r="CN165" s="243"/>
      <c r="CO165" s="243"/>
      <c r="CP165" s="243"/>
      <c r="CQ165" s="243"/>
      <c r="CR165" s="243"/>
      <c r="CS165" s="243"/>
      <c r="CT165" s="243"/>
      <c r="CU165" s="243"/>
      <c r="CV165" s="243"/>
    </row>
    <row r="166" spans="1:100" ht="15.75">
      <c r="A166" s="273"/>
      <c r="B166" s="274"/>
      <c r="C166" s="164"/>
      <c r="D166" s="164"/>
      <c r="E166" s="164"/>
      <c r="F166" s="164"/>
      <c r="G166" s="164"/>
      <c r="H166" s="164"/>
      <c r="I166" s="164"/>
      <c r="J166" s="164"/>
      <c r="K166" s="164"/>
      <c r="L166" s="164"/>
      <c r="M166" s="164"/>
      <c r="N166" s="164"/>
      <c r="O166" s="164"/>
      <c r="P166" s="164"/>
      <c r="Q166" s="164"/>
      <c r="R166" s="164"/>
      <c r="S166" s="164"/>
      <c r="T166" s="164"/>
      <c r="U166" s="164"/>
      <c r="V166" s="164"/>
      <c r="W166" s="242"/>
      <c r="X166" s="242"/>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c r="BZ166" s="243"/>
      <c r="CA166" s="243"/>
      <c r="CB166" s="243"/>
      <c r="CC166" s="243"/>
      <c r="CD166" s="243"/>
      <c r="CE166" s="243"/>
      <c r="CF166" s="243"/>
      <c r="CG166" s="243"/>
      <c r="CH166" s="243"/>
      <c r="CI166" s="243"/>
      <c r="CJ166" s="243"/>
      <c r="CK166" s="243"/>
      <c r="CL166" s="243"/>
      <c r="CM166" s="243"/>
      <c r="CN166" s="243"/>
      <c r="CO166" s="243"/>
      <c r="CP166" s="243"/>
      <c r="CQ166" s="243"/>
      <c r="CR166" s="243"/>
      <c r="CS166" s="243"/>
      <c r="CT166" s="243"/>
      <c r="CU166" s="243"/>
      <c r="CV166" s="243"/>
    </row>
    <row r="167" spans="1:100" ht="15.75">
      <c r="A167" s="273"/>
      <c r="B167" s="274"/>
      <c r="C167" s="164"/>
      <c r="D167" s="164"/>
      <c r="E167" s="164"/>
      <c r="F167" s="164"/>
      <c r="G167" s="164"/>
      <c r="H167" s="164"/>
      <c r="I167" s="164"/>
      <c r="J167" s="164"/>
      <c r="K167" s="164"/>
      <c r="L167" s="164"/>
      <c r="M167" s="164"/>
      <c r="N167" s="164"/>
      <c r="O167" s="164"/>
      <c r="P167" s="164"/>
      <c r="Q167" s="164"/>
      <c r="R167" s="164"/>
      <c r="S167" s="164"/>
      <c r="T167" s="164"/>
      <c r="U167" s="164"/>
      <c r="V167" s="164"/>
      <c r="W167" s="242"/>
      <c r="X167" s="242"/>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c r="BZ167" s="243"/>
      <c r="CA167" s="243"/>
      <c r="CB167" s="243"/>
      <c r="CC167" s="243"/>
      <c r="CD167" s="243"/>
      <c r="CE167" s="243"/>
      <c r="CF167" s="243"/>
      <c r="CG167" s="243"/>
      <c r="CH167" s="243"/>
      <c r="CI167" s="243"/>
      <c r="CJ167" s="243"/>
      <c r="CK167" s="243"/>
      <c r="CL167" s="243"/>
      <c r="CM167" s="243"/>
      <c r="CN167" s="243"/>
      <c r="CO167" s="243"/>
      <c r="CP167" s="243"/>
      <c r="CQ167" s="243"/>
      <c r="CR167" s="243"/>
      <c r="CS167" s="243"/>
      <c r="CT167" s="243"/>
      <c r="CU167" s="243"/>
      <c r="CV167" s="243"/>
    </row>
    <row r="168" spans="1:100" ht="15.75">
      <c r="A168" s="273"/>
      <c r="B168" s="274"/>
      <c r="C168" s="164"/>
      <c r="D168" s="164"/>
      <c r="E168" s="164"/>
      <c r="F168" s="164"/>
      <c r="G168" s="164"/>
      <c r="H168" s="164"/>
      <c r="I168" s="164"/>
      <c r="J168" s="164"/>
      <c r="K168" s="164"/>
      <c r="L168" s="164"/>
      <c r="M168" s="164"/>
      <c r="N168" s="164"/>
      <c r="O168" s="164"/>
      <c r="P168" s="164"/>
      <c r="Q168" s="164"/>
      <c r="R168" s="164"/>
      <c r="S168" s="164"/>
      <c r="T168" s="164"/>
      <c r="U168" s="164"/>
      <c r="V168" s="164"/>
      <c r="W168" s="242"/>
      <c r="X168" s="242"/>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c r="BZ168" s="243"/>
      <c r="CA168" s="243"/>
      <c r="CB168" s="243"/>
      <c r="CC168" s="243"/>
      <c r="CD168" s="243"/>
      <c r="CE168" s="243"/>
      <c r="CF168" s="243"/>
      <c r="CG168" s="243"/>
      <c r="CH168" s="243"/>
      <c r="CI168" s="243"/>
      <c r="CJ168" s="243"/>
      <c r="CK168" s="243"/>
      <c r="CL168" s="243"/>
      <c r="CM168" s="243"/>
      <c r="CN168" s="243"/>
      <c r="CO168" s="243"/>
      <c r="CP168" s="243"/>
      <c r="CQ168" s="243"/>
      <c r="CR168" s="243"/>
      <c r="CS168" s="243"/>
      <c r="CT168" s="243"/>
      <c r="CU168" s="243"/>
      <c r="CV168" s="243"/>
    </row>
    <row r="169" spans="1:100" ht="15.75">
      <c r="A169" s="273"/>
      <c r="B169" s="274"/>
      <c r="C169" s="164"/>
      <c r="D169" s="164"/>
      <c r="E169" s="164"/>
      <c r="F169" s="164"/>
      <c r="G169" s="164"/>
      <c r="H169" s="164"/>
      <c r="I169" s="164"/>
      <c r="J169" s="164"/>
      <c r="K169" s="164"/>
      <c r="L169" s="164"/>
      <c r="M169" s="164"/>
      <c r="N169" s="164"/>
      <c r="O169" s="164"/>
      <c r="P169" s="164"/>
      <c r="Q169" s="164"/>
      <c r="R169" s="164"/>
      <c r="S169" s="164"/>
      <c r="T169" s="164"/>
      <c r="U169" s="164"/>
      <c r="V169" s="164"/>
      <c r="W169" s="242"/>
      <c r="X169" s="242"/>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c r="BZ169" s="243"/>
      <c r="CA169" s="243"/>
      <c r="CB169" s="243"/>
      <c r="CC169" s="243"/>
      <c r="CD169" s="243"/>
      <c r="CE169" s="243"/>
      <c r="CF169" s="243"/>
      <c r="CG169" s="243"/>
      <c r="CH169" s="243"/>
      <c r="CI169" s="243"/>
      <c r="CJ169" s="243"/>
      <c r="CK169" s="243"/>
      <c r="CL169" s="243"/>
      <c r="CM169" s="243"/>
      <c r="CN169" s="243"/>
      <c r="CO169" s="243"/>
      <c r="CP169" s="243"/>
      <c r="CQ169" s="243"/>
      <c r="CR169" s="243"/>
      <c r="CS169" s="243"/>
      <c r="CT169" s="243"/>
      <c r="CU169" s="243"/>
      <c r="CV169" s="243"/>
    </row>
    <row r="170" spans="1:100" ht="15.75">
      <c r="A170" s="273"/>
      <c r="B170" s="274"/>
      <c r="C170" s="164"/>
      <c r="D170" s="164"/>
      <c r="E170" s="164"/>
      <c r="F170" s="164"/>
      <c r="G170" s="164"/>
      <c r="H170" s="164"/>
      <c r="I170" s="164"/>
      <c r="J170" s="164"/>
      <c r="K170" s="164"/>
      <c r="L170" s="164"/>
      <c r="M170" s="164"/>
      <c r="N170" s="164"/>
      <c r="O170" s="164"/>
      <c r="P170" s="164"/>
      <c r="Q170" s="164"/>
      <c r="R170" s="164"/>
      <c r="S170" s="164"/>
      <c r="T170" s="164"/>
      <c r="U170" s="164"/>
      <c r="V170" s="164"/>
      <c r="W170" s="242"/>
      <c r="X170" s="242"/>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c r="BZ170" s="243"/>
      <c r="CA170" s="243"/>
      <c r="CB170" s="243"/>
      <c r="CC170" s="243"/>
      <c r="CD170" s="243"/>
      <c r="CE170" s="243"/>
      <c r="CF170" s="243"/>
      <c r="CG170" s="243"/>
      <c r="CH170" s="243"/>
      <c r="CI170" s="243"/>
      <c r="CJ170" s="243"/>
      <c r="CK170" s="243"/>
      <c r="CL170" s="243"/>
      <c r="CM170" s="243"/>
      <c r="CN170" s="243"/>
      <c r="CO170" s="243"/>
      <c r="CP170" s="243"/>
      <c r="CQ170" s="243"/>
      <c r="CR170" s="243"/>
      <c r="CS170" s="243"/>
      <c r="CT170" s="243"/>
      <c r="CU170" s="243"/>
      <c r="CV170" s="243"/>
    </row>
    <row r="171" spans="1:100" ht="15.75">
      <c r="A171" s="273"/>
      <c r="B171" s="274"/>
      <c r="C171" s="164"/>
      <c r="D171" s="164"/>
      <c r="E171" s="164"/>
      <c r="F171" s="164"/>
      <c r="G171" s="164"/>
      <c r="H171" s="164"/>
      <c r="I171" s="164"/>
      <c r="J171" s="164"/>
      <c r="K171" s="164"/>
      <c r="L171" s="164"/>
      <c r="M171" s="164"/>
      <c r="N171" s="164"/>
      <c r="O171" s="164"/>
      <c r="P171" s="164"/>
      <c r="Q171" s="164"/>
      <c r="R171" s="164"/>
      <c r="S171" s="164"/>
      <c r="T171" s="164"/>
      <c r="U171" s="164"/>
      <c r="V171" s="164"/>
      <c r="W171" s="242"/>
      <c r="X171" s="242"/>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c r="BZ171" s="243"/>
      <c r="CA171" s="243"/>
      <c r="CB171" s="243"/>
      <c r="CC171" s="243"/>
      <c r="CD171" s="243"/>
      <c r="CE171" s="243"/>
      <c r="CF171" s="243"/>
      <c r="CG171" s="243"/>
      <c r="CH171" s="243"/>
      <c r="CI171" s="243"/>
      <c r="CJ171" s="243"/>
      <c r="CK171" s="243"/>
      <c r="CL171" s="243"/>
      <c r="CM171" s="243"/>
      <c r="CN171" s="243"/>
      <c r="CO171" s="243"/>
      <c r="CP171" s="243"/>
      <c r="CQ171" s="243"/>
      <c r="CR171" s="243"/>
      <c r="CS171" s="243"/>
      <c r="CT171" s="243"/>
      <c r="CU171" s="243"/>
      <c r="CV171" s="243"/>
    </row>
    <row r="172" spans="1:100" ht="15.75">
      <c r="A172" s="273"/>
      <c r="B172" s="274"/>
      <c r="C172" s="164"/>
      <c r="D172" s="164"/>
      <c r="E172" s="164"/>
      <c r="F172" s="164"/>
      <c r="G172" s="164"/>
      <c r="H172" s="164"/>
      <c r="I172" s="164"/>
      <c r="J172" s="164"/>
      <c r="K172" s="164"/>
      <c r="L172" s="164"/>
      <c r="M172" s="164"/>
      <c r="N172" s="164"/>
      <c r="O172" s="164"/>
      <c r="P172" s="164"/>
      <c r="Q172" s="164"/>
      <c r="R172" s="164"/>
      <c r="S172" s="164"/>
      <c r="T172" s="164"/>
      <c r="U172" s="164"/>
      <c r="V172" s="164"/>
      <c r="W172" s="242"/>
      <c r="X172" s="242"/>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c r="BZ172" s="243"/>
      <c r="CA172" s="243"/>
      <c r="CB172" s="243"/>
      <c r="CC172" s="243"/>
      <c r="CD172" s="243"/>
      <c r="CE172" s="243"/>
      <c r="CF172" s="243"/>
      <c r="CG172" s="243"/>
      <c r="CH172" s="243"/>
      <c r="CI172" s="243"/>
      <c r="CJ172" s="243"/>
      <c r="CK172" s="243"/>
      <c r="CL172" s="243"/>
      <c r="CM172" s="243"/>
      <c r="CN172" s="243"/>
      <c r="CO172" s="243"/>
      <c r="CP172" s="243"/>
      <c r="CQ172" s="243"/>
      <c r="CR172" s="243"/>
      <c r="CS172" s="243"/>
      <c r="CT172" s="243"/>
      <c r="CU172" s="243"/>
      <c r="CV172" s="243"/>
    </row>
    <row r="173" spans="1:100" ht="15.75">
      <c r="A173" s="273"/>
      <c r="B173" s="274"/>
      <c r="C173" s="164"/>
      <c r="D173" s="164"/>
      <c r="E173" s="164"/>
      <c r="F173" s="164"/>
      <c r="G173" s="164"/>
      <c r="H173" s="164"/>
      <c r="I173" s="164"/>
      <c r="J173" s="164"/>
      <c r="K173" s="164"/>
      <c r="L173" s="164"/>
      <c r="M173" s="164"/>
      <c r="N173" s="164"/>
      <c r="O173" s="164"/>
      <c r="P173" s="164"/>
      <c r="Q173" s="164"/>
      <c r="R173" s="164"/>
      <c r="S173" s="164"/>
      <c r="T173" s="164"/>
      <c r="U173" s="164"/>
      <c r="V173" s="164"/>
      <c r="W173" s="242"/>
      <c r="X173" s="242"/>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c r="BZ173" s="243"/>
      <c r="CA173" s="243"/>
      <c r="CB173" s="243"/>
      <c r="CC173" s="243"/>
      <c r="CD173" s="243"/>
      <c r="CE173" s="243"/>
      <c r="CF173" s="243"/>
      <c r="CG173" s="243"/>
      <c r="CH173" s="243"/>
      <c r="CI173" s="243"/>
      <c r="CJ173" s="243"/>
      <c r="CK173" s="243"/>
      <c r="CL173" s="243"/>
      <c r="CM173" s="243"/>
      <c r="CN173" s="243"/>
      <c r="CO173" s="243"/>
      <c r="CP173" s="243"/>
      <c r="CQ173" s="243"/>
      <c r="CR173" s="243"/>
      <c r="CS173" s="243"/>
      <c r="CT173" s="243"/>
      <c r="CU173" s="243"/>
      <c r="CV173" s="243"/>
    </row>
    <row r="174" spans="1:100" ht="15.75">
      <c r="A174" s="273"/>
      <c r="B174" s="274"/>
      <c r="C174" s="164"/>
      <c r="D174" s="164"/>
      <c r="E174" s="164"/>
      <c r="F174" s="164"/>
      <c r="G174" s="164"/>
      <c r="H174" s="164"/>
      <c r="I174" s="164"/>
      <c r="J174" s="164"/>
      <c r="K174" s="164"/>
      <c r="L174" s="164"/>
      <c r="M174" s="164"/>
      <c r="N174" s="164"/>
      <c r="O174" s="164"/>
      <c r="P174" s="164"/>
      <c r="Q174" s="164"/>
      <c r="R174" s="164"/>
      <c r="S174" s="164"/>
      <c r="T174" s="164"/>
      <c r="U174" s="164"/>
      <c r="V174" s="164"/>
      <c r="W174" s="242"/>
      <c r="X174" s="242"/>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c r="BZ174" s="243"/>
      <c r="CA174" s="243"/>
      <c r="CB174" s="243"/>
      <c r="CC174" s="243"/>
      <c r="CD174" s="243"/>
      <c r="CE174" s="243"/>
      <c r="CF174" s="243"/>
      <c r="CG174" s="243"/>
      <c r="CH174" s="243"/>
      <c r="CI174" s="243"/>
      <c r="CJ174" s="243"/>
      <c r="CK174" s="243"/>
      <c r="CL174" s="243"/>
      <c r="CM174" s="243"/>
      <c r="CN174" s="243"/>
      <c r="CO174" s="243"/>
      <c r="CP174" s="243"/>
      <c r="CQ174" s="243"/>
      <c r="CR174" s="243"/>
      <c r="CS174" s="243"/>
      <c r="CT174" s="243"/>
      <c r="CU174" s="243"/>
      <c r="CV174" s="243"/>
    </row>
    <row r="175" spans="1:100" ht="15.75">
      <c r="A175" s="273"/>
      <c r="B175" s="274"/>
      <c r="C175" s="164"/>
      <c r="D175" s="164"/>
      <c r="E175" s="164"/>
      <c r="F175" s="164"/>
      <c r="G175" s="164"/>
      <c r="H175" s="164"/>
      <c r="I175" s="164"/>
      <c r="J175" s="164"/>
      <c r="K175" s="164"/>
      <c r="L175" s="164"/>
      <c r="M175" s="164"/>
      <c r="N175" s="164"/>
      <c r="O175" s="164"/>
      <c r="P175" s="164"/>
      <c r="Q175" s="164"/>
      <c r="R175" s="164"/>
      <c r="S175" s="164"/>
      <c r="T175" s="164"/>
      <c r="U175" s="164"/>
      <c r="V175" s="164"/>
      <c r="W175" s="242"/>
      <c r="X175" s="242"/>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3"/>
      <c r="CA175" s="243"/>
      <c r="CB175" s="243"/>
      <c r="CC175" s="243"/>
      <c r="CD175" s="243"/>
      <c r="CE175" s="243"/>
      <c r="CF175" s="243"/>
      <c r="CG175" s="243"/>
      <c r="CH175" s="243"/>
      <c r="CI175" s="243"/>
      <c r="CJ175" s="243"/>
      <c r="CK175" s="243"/>
      <c r="CL175" s="243"/>
      <c r="CM175" s="243"/>
      <c r="CN175" s="243"/>
      <c r="CO175" s="243"/>
      <c r="CP175" s="243"/>
      <c r="CQ175" s="243"/>
      <c r="CR175" s="243"/>
      <c r="CS175" s="243"/>
      <c r="CT175" s="243"/>
      <c r="CU175" s="243"/>
      <c r="CV175" s="243"/>
    </row>
    <row r="176" spans="1:100" ht="15.75">
      <c r="A176" s="273"/>
      <c r="B176" s="274"/>
      <c r="C176" s="164"/>
      <c r="D176" s="164"/>
      <c r="E176" s="164"/>
      <c r="F176" s="164"/>
      <c r="G176" s="164"/>
      <c r="H176" s="164"/>
      <c r="I176" s="164"/>
      <c r="J176" s="164"/>
      <c r="K176" s="164"/>
      <c r="L176" s="164"/>
      <c r="M176" s="164"/>
      <c r="N176" s="164"/>
      <c r="O176" s="164"/>
      <c r="P176" s="164"/>
      <c r="Q176" s="164"/>
      <c r="R176" s="164"/>
      <c r="S176" s="164"/>
      <c r="T176" s="164"/>
      <c r="U176" s="164"/>
      <c r="V176" s="164"/>
      <c r="W176" s="242"/>
      <c r="X176" s="242"/>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c r="BZ176" s="243"/>
      <c r="CA176" s="243"/>
      <c r="CB176" s="243"/>
      <c r="CC176" s="243"/>
      <c r="CD176" s="243"/>
      <c r="CE176" s="243"/>
      <c r="CF176" s="243"/>
      <c r="CG176" s="243"/>
      <c r="CH176" s="243"/>
      <c r="CI176" s="243"/>
      <c r="CJ176" s="243"/>
      <c r="CK176" s="243"/>
      <c r="CL176" s="243"/>
      <c r="CM176" s="243"/>
      <c r="CN176" s="243"/>
      <c r="CO176" s="243"/>
      <c r="CP176" s="243"/>
      <c r="CQ176" s="243"/>
      <c r="CR176" s="243"/>
      <c r="CS176" s="243"/>
      <c r="CT176" s="243"/>
      <c r="CU176" s="243"/>
      <c r="CV176" s="243"/>
    </row>
    <row r="177" spans="1:100" ht="15.75">
      <c r="A177" s="273"/>
      <c r="B177" s="274"/>
      <c r="C177" s="164"/>
      <c r="D177" s="164"/>
      <c r="E177" s="164"/>
      <c r="F177" s="164"/>
      <c r="G177" s="164"/>
      <c r="H177" s="164"/>
      <c r="I177" s="164"/>
      <c r="J177" s="164"/>
      <c r="K177" s="164"/>
      <c r="L177" s="164"/>
      <c r="M177" s="164"/>
      <c r="N177" s="164"/>
      <c r="O177" s="164"/>
      <c r="P177" s="164"/>
      <c r="Q177" s="164"/>
      <c r="R177" s="164"/>
      <c r="S177" s="164"/>
      <c r="T177" s="164"/>
      <c r="U177" s="164"/>
      <c r="V177" s="164"/>
      <c r="W177" s="242"/>
      <c r="X177" s="242"/>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3"/>
      <c r="CA177" s="243"/>
      <c r="CB177" s="243"/>
      <c r="CC177" s="243"/>
      <c r="CD177" s="243"/>
      <c r="CE177" s="243"/>
      <c r="CF177" s="243"/>
      <c r="CG177" s="243"/>
      <c r="CH177" s="243"/>
      <c r="CI177" s="243"/>
      <c r="CJ177" s="243"/>
      <c r="CK177" s="243"/>
      <c r="CL177" s="243"/>
      <c r="CM177" s="243"/>
      <c r="CN177" s="243"/>
      <c r="CO177" s="243"/>
      <c r="CP177" s="243"/>
      <c r="CQ177" s="243"/>
      <c r="CR177" s="243"/>
      <c r="CS177" s="243"/>
      <c r="CT177" s="243"/>
      <c r="CU177" s="243"/>
      <c r="CV177" s="243"/>
    </row>
    <row r="178" spans="1:100" ht="15.75">
      <c r="A178" s="273"/>
      <c r="B178" s="274"/>
      <c r="C178" s="164"/>
      <c r="D178" s="164"/>
      <c r="E178" s="164"/>
      <c r="F178" s="164"/>
      <c r="G178" s="164"/>
      <c r="H178" s="164"/>
      <c r="I178" s="164"/>
      <c r="J178" s="164"/>
      <c r="K178" s="164"/>
      <c r="L178" s="164"/>
      <c r="M178" s="164"/>
      <c r="N178" s="164"/>
      <c r="O178" s="164"/>
      <c r="P178" s="164"/>
      <c r="Q178" s="164"/>
      <c r="R178" s="164"/>
      <c r="S178" s="164"/>
      <c r="T178" s="164"/>
      <c r="U178" s="164"/>
      <c r="V178" s="164"/>
      <c r="W178" s="242"/>
      <c r="X178" s="242"/>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c r="BZ178" s="243"/>
      <c r="CA178" s="243"/>
      <c r="CB178" s="243"/>
      <c r="CC178" s="243"/>
      <c r="CD178" s="243"/>
      <c r="CE178" s="243"/>
      <c r="CF178" s="243"/>
      <c r="CG178" s="243"/>
      <c r="CH178" s="243"/>
      <c r="CI178" s="243"/>
      <c r="CJ178" s="243"/>
      <c r="CK178" s="243"/>
      <c r="CL178" s="243"/>
      <c r="CM178" s="243"/>
      <c r="CN178" s="243"/>
      <c r="CO178" s="243"/>
      <c r="CP178" s="243"/>
      <c r="CQ178" s="243"/>
      <c r="CR178" s="243"/>
      <c r="CS178" s="243"/>
      <c r="CT178" s="243"/>
      <c r="CU178" s="243"/>
      <c r="CV178" s="243"/>
    </row>
    <row r="179" spans="1:100" ht="15.75">
      <c r="A179" s="273"/>
      <c r="B179" s="274"/>
      <c r="C179" s="164"/>
      <c r="D179" s="164"/>
      <c r="E179" s="164"/>
      <c r="F179" s="164"/>
      <c r="G179" s="164"/>
      <c r="H179" s="164"/>
      <c r="I179" s="164"/>
      <c r="J179" s="164"/>
      <c r="K179" s="164"/>
      <c r="L179" s="164"/>
      <c r="M179" s="164"/>
      <c r="N179" s="164"/>
      <c r="O179" s="164"/>
      <c r="P179" s="164"/>
      <c r="Q179" s="164"/>
      <c r="R179" s="164"/>
      <c r="S179" s="164"/>
      <c r="T179" s="164"/>
      <c r="U179" s="164"/>
      <c r="V179" s="164"/>
      <c r="W179" s="242"/>
      <c r="X179" s="242"/>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c r="BZ179" s="243"/>
      <c r="CA179" s="243"/>
      <c r="CB179" s="243"/>
      <c r="CC179" s="243"/>
      <c r="CD179" s="243"/>
      <c r="CE179" s="243"/>
      <c r="CF179" s="243"/>
      <c r="CG179" s="243"/>
      <c r="CH179" s="243"/>
      <c r="CI179" s="243"/>
      <c r="CJ179" s="243"/>
      <c r="CK179" s="243"/>
      <c r="CL179" s="243"/>
      <c r="CM179" s="243"/>
      <c r="CN179" s="243"/>
      <c r="CO179" s="243"/>
      <c r="CP179" s="243"/>
      <c r="CQ179" s="243"/>
      <c r="CR179" s="243"/>
      <c r="CS179" s="243"/>
      <c r="CT179" s="243"/>
      <c r="CU179" s="243"/>
      <c r="CV179" s="243"/>
    </row>
    <row r="180" spans="1:100" ht="15.75">
      <c r="A180" s="273"/>
      <c r="B180" s="274"/>
      <c r="C180" s="164"/>
      <c r="D180" s="164"/>
      <c r="E180" s="164"/>
      <c r="F180" s="164"/>
      <c r="G180" s="164"/>
      <c r="H180" s="164"/>
      <c r="I180" s="164"/>
      <c r="J180" s="164"/>
      <c r="K180" s="164"/>
      <c r="L180" s="164"/>
      <c r="M180" s="164"/>
      <c r="N180" s="164"/>
      <c r="O180" s="164"/>
      <c r="P180" s="164"/>
      <c r="Q180" s="164"/>
      <c r="R180" s="164"/>
      <c r="S180" s="164"/>
      <c r="T180" s="164"/>
      <c r="U180" s="164"/>
      <c r="V180" s="164"/>
      <c r="W180" s="242"/>
      <c r="X180" s="242"/>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c r="CC180" s="243"/>
      <c r="CD180" s="243"/>
      <c r="CE180" s="243"/>
      <c r="CF180" s="243"/>
      <c r="CG180" s="243"/>
      <c r="CH180" s="243"/>
      <c r="CI180" s="243"/>
      <c r="CJ180" s="243"/>
      <c r="CK180" s="243"/>
      <c r="CL180" s="243"/>
      <c r="CM180" s="243"/>
      <c r="CN180" s="243"/>
      <c r="CO180" s="243"/>
      <c r="CP180" s="243"/>
      <c r="CQ180" s="243"/>
      <c r="CR180" s="243"/>
      <c r="CS180" s="243"/>
      <c r="CT180" s="243"/>
      <c r="CU180" s="243"/>
      <c r="CV180" s="243"/>
    </row>
    <row r="181" spans="1:100" ht="15.75">
      <c r="A181" s="273"/>
      <c r="B181" s="274"/>
      <c r="C181" s="164"/>
      <c r="D181" s="164"/>
      <c r="E181" s="164"/>
      <c r="F181" s="164"/>
      <c r="G181" s="164"/>
      <c r="H181" s="164"/>
      <c r="I181" s="164"/>
      <c r="J181" s="164"/>
      <c r="K181" s="164"/>
      <c r="L181" s="164"/>
      <c r="M181" s="164"/>
      <c r="N181" s="164"/>
      <c r="O181" s="164"/>
      <c r="P181" s="164"/>
      <c r="Q181" s="164"/>
      <c r="R181" s="164"/>
      <c r="S181" s="164"/>
      <c r="T181" s="164"/>
      <c r="U181" s="164"/>
      <c r="V181" s="164"/>
      <c r="W181" s="242"/>
      <c r="X181" s="242"/>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c r="BZ181" s="243"/>
      <c r="CA181" s="243"/>
      <c r="CB181" s="243"/>
      <c r="CC181" s="243"/>
      <c r="CD181" s="243"/>
      <c r="CE181" s="243"/>
      <c r="CF181" s="243"/>
      <c r="CG181" s="243"/>
      <c r="CH181" s="243"/>
      <c r="CI181" s="243"/>
      <c r="CJ181" s="243"/>
      <c r="CK181" s="243"/>
      <c r="CL181" s="243"/>
      <c r="CM181" s="243"/>
      <c r="CN181" s="243"/>
      <c r="CO181" s="243"/>
      <c r="CP181" s="243"/>
      <c r="CQ181" s="243"/>
      <c r="CR181" s="243"/>
      <c r="CS181" s="243"/>
      <c r="CT181" s="243"/>
      <c r="CU181" s="243"/>
      <c r="CV181" s="243"/>
    </row>
    <row r="182" spans="1:100" ht="15.75">
      <c r="A182" s="273"/>
      <c r="B182" s="274"/>
      <c r="C182" s="164"/>
      <c r="D182" s="164"/>
      <c r="E182" s="164"/>
      <c r="F182" s="164"/>
      <c r="G182" s="164"/>
      <c r="H182" s="164"/>
      <c r="I182" s="164"/>
      <c r="J182" s="164"/>
      <c r="K182" s="164"/>
      <c r="L182" s="164"/>
      <c r="M182" s="164"/>
      <c r="N182" s="164"/>
      <c r="O182" s="164"/>
      <c r="P182" s="164"/>
      <c r="Q182" s="164"/>
      <c r="R182" s="164"/>
      <c r="S182" s="164"/>
      <c r="T182" s="164"/>
      <c r="U182" s="164"/>
      <c r="V182" s="164"/>
      <c r="W182" s="242"/>
      <c r="X182" s="242"/>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3"/>
      <c r="CA182" s="243"/>
      <c r="CB182" s="243"/>
      <c r="CC182" s="243"/>
      <c r="CD182" s="243"/>
      <c r="CE182" s="243"/>
      <c r="CF182" s="243"/>
      <c r="CG182" s="243"/>
      <c r="CH182" s="243"/>
      <c r="CI182" s="243"/>
      <c r="CJ182" s="243"/>
      <c r="CK182" s="243"/>
      <c r="CL182" s="243"/>
      <c r="CM182" s="243"/>
      <c r="CN182" s="243"/>
      <c r="CO182" s="243"/>
      <c r="CP182" s="243"/>
      <c r="CQ182" s="243"/>
      <c r="CR182" s="243"/>
      <c r="CS182" s="243"/>
      <c r="CT182" s="243"/>
      <c r="CU182" s="243"/>
      <c r="CV182" s="243"/>
    </row>
    <row r="183" spans="1:100" ht="15.75">
      <c r="A183" s="273"/>
      <c r="B183" s="274"/>
      <c r="C183" s="164"/>
      <c r="D183" s="164"/>
      <c r="E183" s="164"/>
      <c r="F183" s="164"/>
      <c r="G183" s="164"/>
      <c r="H183" s="164"/>
      <c r="I183" s="164"/>
      <c r="J183" s="164"/>
      <c r="K183" s="164"/>
      <c r="L183" s="164"/>
      <c r="M183" s="164"/>
      <c r="N183" s="164"/>
      <c r="O183" s="164"/>
      <c r="P183" s="164"/>
      <c r="Q183" s="164"/>
      <c r="R183" s="164"/>
      <c r="S183" s="164"/>
      <c r="T183" s="164"/>
      <c r="U183" s="164"/>
      <c r="V183" s="164"/>
      <c r="W183" s="242"/>
      <c r="X183" s="242"/>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c r="BZ183" s="243"/>
      <c r="CA183" s="243"/>
      <c r="CB183" s="243"/>
      <c r="CC183" s="243"/>
      <c r="CD183" s="243"/>
      <c r="CE183" s="243"/>
      <c r="CF183" s="243"/>
      <c r="CG183" s="243"/>
      <c r="CH183" s="243"/>
      <c r="CI183" s="243"/>
      <c r="CJ183" s="243"/>
      <c r="CK183" s="243"/>
      <c r="CL183" s="243"/>
      <c r="CM183" s="243"/>
      <c r="CN183" s="243"/>
      <c r="CO183" s="243"/>
      <c r="CP183" s="243"/>
      <c r="CQ183" s="243"/>
      <c r="CR183" s="243"/>
      <c r="CS183" s="243"/>
      <c r="CT183" s="243"/>
      <c r="CU183" s="243"/>
      <c r="CV183" s="243"/>
    </row>
    <row r="184" spans="1:100" ht="15.75">
      <c r="A184" s="273"/>
      <c r="B184" s="274"/>
      <c r="C184" s="164"/>
      <c r="D184" s="164"/>
      <c r="E184" s="164"/>
      <c r="F184" s="164"/>
      <c r="G184" s="164"/>
      <c r="H184" s="164"/>
      <c r="I184" s="164"/>
      <c r="J184" s="164"/>
      <c r="K184" s="164"/>
      <c r="L184" s="164"/>
      <c r="M184" s="164"/>
      <c r="N184" s="164"/>
      <c r="O184" s="164"/>
      <c r="P184" s="164"/>
      <c r="Q184" s="164"/>
      <c r="R184" s="164"/>
      <c r="S184" s="164"/>
      <c r="T184" s="164"/>
      <c r="U184" s="164"/>
      <c r="V184" s="164"/>
      <c r="W184" s="242"/>
      <c r="X184" s="242"/>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c r="BZ184" s="243"/>
      <c r="CA184" s="243"/>
      <c r="CB184" s="243"/>
      <c r="CC184" s="243"/>
      <c r="CD184" s="243"/>
      <c r="CE184" s="243"/>
      <c r="CF184" s="243"/>
      <c r="CG184" s="243"/>
      <c r="CH184" s="243"/>
      <c r="CI184" s="243"/>
      <c r="CJ184" s="243"/>
      <c r="CK184" s="243"/>
      <c r="CL184" s="243"/>
      <c r="CM184" s="243"/>
      <c r="CN184" s="243"/>
      <c r="CO184" s="243"/>
      <c r="CP184" s="243"/>
      <c r="CQ184" s="243"/>
      <c r="CR184" s="243"/>
      <c r="CS184" s="243"/>
      <c r="CT184" s="243"/>
      <c r="CU184" s="243"/>
      <c r="CV184" s="243"/>
    </row>
    <row r="185" spans="1:100" ht="15.75">
      <c r="A185" s="273"/>
      <c r="B185" s="274"/>
      <c r="C185" s="164"/>
      <c r="D185" s="164"/>
      <c r="E185" s="164"/>
      <c r="F185" s="164"/>
      <c r="G185" s="164"/>
      <c r="H185" s="164"/>
      <c r="I185" s="164"/>
      <c r="J185" s="164"/>
      <c r="K185" s="164"/>
      <c r="L185" s="164"/>
      <c r="M185" s="164"/>
      <c r="N185" s="164"/>
      <c r="O185" s="164"/>
      <c r="P185" s="164"/>
      <c r="Q185" s="164"/>
      <c r="R185" s="164"/>
      <c r="S185" s="164"/>
      <c r="T185" s="164"/>
      <c r="U185" s="164"/>
      <c r="V185" s="164"/>
      <c r="W185" s="242"/>
      <c r="X185" s="242"/>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c r="CC185" s="243"/>
      <c r="CD185" s="243"/>
      <c r="CE185" s="243"/>
      <c r="CF185" s="243"/>
      <c r="CG185" s="243"/>
      <c r="CH185" s="243"/>
      <c r="CI185" s="243"/>
      <c r="CJ185" s="243"/>
      <c r="CK185" s="243"/>
      <c r="CL185" s="243"/>
      <c r="CM185" s="243"/>
      <c r="CN185" s="243"/>
      <c r="CO185" s="243"/>
      <c r="CP185" s="243"/>
      <c r="CQ185" s="243"/>
      <c r="CR185" s="243"/>
      <c r="CS185" s="243"/>
      <c r="CT185" s="243"/>
      <c r="CU185" s="243"/>
      <c r="CV185" s="243"/>
    </row>
    <row r="186" spans="1:100" ht="15.75">
      <c r="A186" s="273"/>
      <c r="B186" s="274"/>
      <c r="C186" s="164"/>
      <c r="D186" s="164"/>
      <c r="E186" s="164"/>
      <c r="F186" s="164"/>
      <c r="G186" s="164"/>
      <c r="H186" s="164"/>
      <c r="I186" s="164"/>
      <c r="J186" s="164"/>
      <c r="K186" s="164"/>
      <c r="L186" s="164"/>
      <c r="M186" s="164"/>
      <c r="N186" s="164"/>
      <c r="O186" s="164"/>
      <c r="P186" s="164"/>
      <c r="Q186" s="164"/>
      <c r="R186" s="164"/>
      <c r="S186" s="164"/>
      <c r="T186" s="164"/>
      <c r="U186" s="164"/>
      <c r="V186" s="164"/>
      <c r="W186" s="242"/>
      <c r="X186" s="242"/>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c r="BZ186" s="243"/>
      <c r="CA186" s="243"/>
      <c r="CB186" s="243"/>
      <c r="CC186" s="243"/>
      <c r="CD186" s="243"/>
      <c r="CE186" s="243"/>
      <c r="CF186" s="243"/>
      <c r="CG186" s="243"/>
      <c r="CH186" s="243"/>
      <c r="CI186" s="243"/>
      <c r="CJ186" s="243"/>
      <c r="CK186" s="243"/>
      <c r="CL186" s="243"/>
      <c r="CM186" s="243"/>
      <c r="CN186" s="243"/>
      <c r="CO186" s="243"/>
      <c r="CP186" s="243"/>
      <c r="CQ186" s="243"/>
      <c r="CR186" s="243"/>
      <c r="CS186" s="243"/>
      <c r="CT186" s="243"/>
      <c r="CU186" s="243"/>
      <c r="CV186" s="243"/>
    </row>
    <row r="187" spans="1:100" ht="15.75">
      <c r="A187" s="273"/>
      <c r="B187" s="274"/>
      <c r="C187" s="164"/>
      <c r="D187" s="164"/>
      <c r="E187" s="164"/>
      <c r="F187" s="164"/>
      <c r="G187" s="164"/>
      <c r="H187" s="164"/>
      <c r="I187" s="164"/>
      <c r="J187" s="164"/>
      <c r="K187" s="164"/>
      <c r="L187" s="164"/>
      <c r="M187" s="164"/>
      <c r="N187" s="164"/>
      <c r="O187" s="164"/>
      <c r="P187" s="164"/>
      <c r="Q187" s="164"/>
      <c r="R187" s="164"/>
      <c r="S187" s="164"/>
      <c r="T187" s="164"/>
      <c r="U187" s="164"/>
      <c r="V187" s="164"/>
      <c r="W187" s="242"/>
      <c r="X187" s="242"/>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3"/>
      <c r="CA187" s="243"/>
      <c r="CB187" s="243"/>
      <c r="CC187" s="243"/>
      <c r="CD187" s="243"/>
      <c r="CE187" s="243"/>
      <c r="CF187" s="243"/>
      <c r="CG187" s="243"/>
      <c r="CH187" s="243"/>
      <c r="CI187" s="243"/>
      <c r="CJ187" s="243"/>
      <c r="CK187" s="243"/>
      <c r="CL187" s="243"/>
      <c r="CM187" s="243"/>
      <c r="CN187" s="243"/>
      <c r="CO187" s="243"/>
      <c r="CP187" s="243"/>
      <c r="CQ187" s="243"/>
      <c r="CR187" s="243"/>
      <c r="CS187" s="243"/>
      <c r="CT187" s="243"/>
      <c r="CU187" s="243"/>
      <c r="CV187" s="243"/>
    </row>
    <row r="188" spans="1:100" ht="15.75">
      <c r="A188" s="273"/>
      <c r="B188" s="274"/>
      <c r="C188" s="164"/>
      <c r="D188" s="164"/>
      <c r="E188" s="164"/>
      <c r="F188" s="164"/>
      <c r="G188" s="164"/>
      <c r="H188" s="164"/>
      <c r="I188" s="164"/>
      <c r="J188" s="164"/>
      <c r="K188" s="164"/>
      <c r="L188" s="164"/>
      <c r="M188" s="164"/>
      <c r="N188" s="164"/>
      <c r="O188" s="164"/>
      <c r="P188" s="164"/>
      <c r="Q188" s="164"/>
      <c r="R188" s="164"/>
      <c r="S188" s="164"/>
      <c r="T188" s="164"/>
      <c r="U188" s="164"/>
      <c r="V188" s="164"/>
      <c r="W188" s="242"/>
      <c r="X188" s="242"/>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c r="BZ188" s="243"/>
      <c r="CA188" s="243"/>
      <c r="CB188" s="243"/>
      <c r="CC188" s="243"/>
      <c r="CD188" s="243"/>
      <c r="CE188" s="243"/>
      <c r="CF188" s="243"/>
      <c r="CG188" s="243"/>
      <c r="CH188" s="243"/>
      <c r="CI188" s="243"/>
      <c r="CJ188" s="243"/>
      <c r="CK188" s="243"/>
      <c r="CL188" s="243"/>
      <c r="CM188" s="243"/>
      <c r="CN188" s="243"/>
      <c r="CO188" s="243"/>
      <c r="CP188" s="243"/>
      <c r="CQ188" s="243"/>
      <c r="CR188" s="243"/>
      <c r="CS188" s="243"/>
      <c r="CT188" s="243"/>
      <c r="CU188" s="243"/>
      <c r="CV188" s="243"/>
    </row>
    <row r="189" spans="1:100" ht="15.75">
      <c r="A189" s="273"/>
      <c r="B189" s="274"/>
      <c r="C189" s="164"/>
      <c r="D189" s="164"/>
      <c r="E189" s="164"/>
      <c r="F189" s="164"/>
      <c r="G189" s="164"/>
      <c r="H189" s="164"/>
      <c r="I189" s="164"/>
      <c r="J189" s="164"/>
      <c r="K189" s="164"/>
      <c r="L189" s="164"/>
      <c r="M189" s="164"/>
      <c r="N189" s="164"/>
      <c r="O189" s="164"/>
      <c r="P189" s="164"/>
      <c r="Q189" s="164"/>
      <c r="R189" s="164"/>
      <c r="S189" s="164"/>
      <c r="T189" s="164"/>
      <c r="U189" s="164"/>
      <c r="V189" s="164"/>
      <c r="W189" s="242"/>
      <c r="X189" s="242"/>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c r="BZ189" s="243"/>
      <c r="CA189" s="243"/>
      <c r="CB189" s="243"/>
      <c r="CC189" s="243"/>
      <c r="CD189" s="243"/>
      <c r="CE189" s="243"/>
      <c r="CF189" s="243"/>
      <c r="CG189" s="243"/>
      <c r="CH189" s="243"/>
      <c r="CI189" s="243"/>
      <c r="CJ189" s="243"/>
      <c r="CK189" s="243"/>
      <c r="CL189" s="243"/>
      <c r="CM189" s="243"/>
      <c r="CN189" s="243"/>
      <c r="CO189" s="243"/>
      <c r="CP189" s="243"/>
      <c r="CQ189" s="243"/>
      <c r="CR189" s="243"/>
      <c r="CS189" s="243"/>
      <c r="CT189" s="243"/>
      <c r="CU189" s="243"/>
      <c r="CV189" s="243"/>
    </row>
    <row r="190" spans="1:100" ht="15.75">
      <c r="A190" s="273"/>
      <c r="B190" s="274"/>
      <c r="C190" s="164"/>
      <c r="D190" s="164"/>
      <c r="E190" s="164"/>
      <c r="F190" s="164"/>
      <c r="G190" s="164"/>
      <c r="H190" s="164"/>
      <c r="I190" s="164"/>
      <c r="J190" s="164"/>
      <c r="K190" s="164"/>
      <c r="L190" s="164"/>
      <c r="M190" s="164"/>
      <c r="N190" s="164"/>
      <c r="O190" s="164"/>
      <c r="P190" s="164"/>
      <c r="Q190" s="164"/>
      <c r="R190" s="164"/>
      <c r="S190" s="164"/>
      <c r="T190" s="164"/>
      <c r="U190" s="164"/>
      <c r="V190" s="164"/>
      <c r="W190" s="242"/>
      <c r="X190" s="242"/>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c r="BZ190" s="243"/>
      <c r="CA190" s="243"/>
      <c r="CB190" s="243"/>
      <c r="CC190" s="243"/>
      <c r="CD190" s="243"/>
      <c r="CE190" s="243"/>
      <c r="CF190" s="243"/>
      <c r="CG190" s="243"/>
      <c r="CH190" s="243"/>
      <c r="CI190" s="243"/>
      <c r="CJ190" s="243"/>
      <c r="CK190" s="243"/>
      <c r="CL190" s="243"/>
      <c r="CM190" s="243"/>
      <c r="CN190" s="243"/>
      <c r="CO190" s="243"/>
      <c r="CP190" s="243"/>
      <c r="CQ190" s="243"/>
      <c r="CR190" s="243"/>
      <c r="CS190" s="243"/>
      <c r="CT190" s="243"/>
      <c r="CU190" s="243"/>
      <c r="CV190" s="243"/>
    </row>
    <row r="191" spans="1:100" ht="15.75">
      <c r="A191" s="273"/>
      <c r="B191" s="274"/>
      <c r="C191" s="164"/>
      <c r="D191" s="164"/>
      <c r="E191" s="164"/>
      <c r="F191" s="164"/>
      <c r="G191" s="164"/>
      <c r="H191" s="164"/>
      <c r="I191" s="164"/>
      <c r="J191" s="164"/>
      <c r="K191" s="164"/>
      <c r="L191" s="164"/>
      <c r="M191" s="164"/>
      <c r="N191" s="164"/>
      <c r="O191" s="164"/>
      <c r="P191" s="164"/>
      <c r="Q191" s="164"/>
      <c r="R191" s="164"/>
      <c r="S191" s="164"/>
      <c r="T191" s="164"/>
      <c r="U191" s="164"/>
      <c r="V191" s="164"/>
      <c r="W191" s="242"/>
      <c r="X191" s="242"/>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c r="BZ191" s="243"/>
      <c r="CA191" s="243"/>
      <c r="CB191" s="243"/>
      <c r="CC191" s="243"/>
      <c r="CD191" s="243"/>
      <c r="CE191" s="243"/>
      <c r="CF191" s="243"/>
      <c r="CG191" s="243"/>
      <c r="CH191" s="243"/>
      <c r="CI191" s="243"/>
      <c r="CJ191" s="243"/>
      <c r="CK191" s="243"/>
      <c r="CL191" s="243"/>
      <c r="CM191" s="243"/>
      <c r="CN191" s="243"/>
      <c r="CO191" s="243"/>
      <c r="CP191" s="243"/>
      <c r="CQ191" s="243"/>
      <c r="CR191" s="243"/>
      <c r="CS191" s="243"/>
      <c r="CT191" s="243"/>
      <c r="CU191" s="243"/>
      <c r="CV191" s="243"/>
    </row>
    <row r="192" spans="1:100" ht="15.75">
      <c r="A192" s="273"/>
      <c r="B192" s="274"/>
      <c r="C192" s="164"/>
      <c r="D192" s="164"/>
      <c r="E192" s="164"/>
      <c r="F192" s="164"/>
      <c r="G192" s="164"/>
      <c r="H192" s="164"/>
      <c r="I192" s="164"/>
      <c r="J192" s="164"/>
      <c r="K192" s="164"/>
      <c r="L192" s="164"/>
      <c r="M192" s="164"/>
      <c r="N192" s="164"/>
      <c r="O192" s="164"/>
      <c r="P192" s="164"/>
      <c r="Q192" s="164"/>
      <c r="R192" s="164"/>
      <c r="S192" s="164"/>
      <c r="T192" s="164"/>
      <c r="U192" s="164"/>
      <c r="V192" s="164"/>
      <c r="W192" s="242"/>
      <c r="X192" s="242"/>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c r="BZ192" s="243"/>
      <c r="CA192" s="243"/>
      <c r="CB192" s="243"/>
      <c r="CC192" s="243"/>
      <c r="CD192" s="243"/>
      <c r="CE192" s="243"/>
      <c r="CF192" s="243"/>
      <c r="CG192" s="243"/>
      <c r="CH192" s="243"/>
      <c r="CI192" s="243"/>
      <c r="CJ192" s="243"/>
      <c r="CK192" s="243"/>
      <c r="CL192" s="243"/>
      <c r="CM192" s="243"/>
      <c r="CN192" s="243"/>
      <c r="CO192" s="243"/>
      <c r="CP192" s="243"/>
      <c r="CQ192" s="243"/>
      <c r="CR192" s="243"/>
      <c r="CS192" s="243"/>
      <c r="CT192" s="243"/>
      <c r="CU192" s="243"/>
      <c r="CV192" s="243"/>
    </row>
    <row r="193" spans="1:100" ht="15.75">
      <c r="A193" s="273"/>
      <c r="B193" s="274"/>
      <c r="C193" s="164"/>
      <c r="D193" s="164"/>
      <c r="E193" s="164"/>
      <c r="F193" s="164"/>
      <c r="G193" s="164"/>
      <c r="H193" s="164"/>
      <c r="I193" s="164"/>
      <c r="J193" s="164"/>
      <c r="K193" s="164"/>
      <c r="L193" s="164"/>
      <c r="M193" s="164"/>
      <c r="N193" s="164"/>
      <c r="O193" s="164"/>
      <c r="P193" s="164"/>
      <c r="Q193" s="164"/>
      <c r="R193" s="164"/>
      <c r="S193" s="164"/>
      <c r="T193" s="164"/>
      <c r="U193" s="164"/>
      <c r="V193" s="164"/>
      <c r="W193" s="242"/>
      <c r="X193" s="242"/>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c r="BZ193" s="243"/>
      <c r="CA193" s="243"/>
      <c r="CB193" s="243"/>
      <c r="CC193" s="243"/>
      <c r="CD193" s="243"/>
      <c r="CE193" s="243"/>
      <c r="CF193" s="243"/>
      <c r="CG193" s="243"/>
      <c r="CH193" s="243"/>
      <c r="CI193" s="243"/>
      <c r="CJ193" s="243"/>
      <c r="CK193" s="243"/>
      <c r="CL193" s="243"/>
      <c r="CM193" s="243"/>
      <c r="CN193" s="243"/>
      <c r="CO193" s="243"/>
      <c r="CP193" s="243"/>
      <c r="CQ193" s="243"/>
      <c r="CR193" s="243"/>
      <c r="CS193" s="243"/>
      <c r="CT193" s="243"/>
      <c r="CU193" s="243"/>
      <c r="CV193" s="243"/>
    </row>
    <row r="194" spans="1:100" ht="15.75">
      <c r="A194" s="273"/>
      <c r="B194" s="274"/>
      <c r="C194" s="164"/>
      <c r="D194" s="164"/>
      <c r="E194" s="164"/>
      <c r="F194" s="164"/>
      <c r="G194" s="164"/>
      <c r="H194" s="164"/>
      <c r="I194" s="164"/>
      <c r="J194" s="164"/>
      <c r="K194" s="164"/>
      <c r="L194" s="164"/>
      <c r="M194" s="164"/>
      <c r="N194" s="164"/>
      <c r="O194" s="164"/>
      <c r="P194" s="164"/>
      <c r="Q194" s="164"/>
      <c r="R194" s="164"/>
      <c r="S194" s="164"/>
      <c r="T194" s="164"/>
      <c r="U194" s="164"/>
      <c r="V194" s="164"/>
      <c r="W194" s="242"/>
      <c r="X194" s="242"/>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c r="BZ194" s="243"/>
      <c r="CA194" s="243"/>
      <c r="CB194" s="243"/>
      <c r="CC194" s="243"/>
      <c r="CD194" s="243"/>
      <c r="CE194" s="243"/>
      <c r="CF194" s="243"/>
      <c r="CG194" s="243"/>
      <c r="CH194" s="243"/>
      <c r="CI194" s="243"/>
      <c r="CJ194" s="243"/>
      <c r="CK194" s="243"/>
      <c r="CL194" s="243"/>
      <c r="CM194" s="243"/>
      <c r="CN194" s="243"/>
      <c r="CO194" s="243"/>
      <c r="CP194" s="243"/>
      <c r="CQ194" s="243"/>
      <c r="CR194" s="243"/>
      <c r="CS194" s="243"/>
      <c r="CT194" s="243"/>
      <c r="CU194" s="243"/>
      <c r="CV194" s="243"/>
    </row>
    <row r="195" spans="1:100" ht="15.75">
      <c r="A195" s="273"/>
      <c r="B195" s="274"/>
      <c r="C195" s="164"/>
      <c r="D195" s="164"/>
      <c r="E195" s="164"/>
      <c r="F195" s="164"/>
      <c r="G195" s="164"/>
      <c r="H195" s="164"/>
      <c r="I195" s="164"/>
      <c r="J195" s="164"/>
      <c r="K195" s="164"/>
      <c r="L195" s="164"/>
      <c r="M195" s="164"/>
      <c r="N195" s="164"/>
      <c r="O195" s="164"/>
      <c r="P195" s="164"/>
      <c r="Q195" s="164"/>
      <c r="R195" s="164"/>
      <c r="S195" s="164"/>
      <c r="T195" s="164"/>
      <c r="U195" s="164"/>
      <c r="V195" s="164"/>
      <c r="W195" s="242"/>
      <c r="X195" s="242"/>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c r="BZ195" s="243"/>
      <c r="CA195" s="243"/>
      <c r="CB195" s="243"/>
      <c r="CC195" s="243"/>
      <c r="CD195" s="243"/>
      <c r="CE195" s="243"/>
      <c r="CF195" s="243"/>
      <c r="CG195" s="243"/>
      <c r="CH195" s="243"/>
      <c r="CI195" s="243"/>
      <c r="CJ195" s="243"/>
      <c r="CK195" s="243"/>
      <c r="CL195" s="243"/>
      <c r="CM195" s="243"/>
      <c r="CN195" s="243"/>
      <c r="CO195" s="243"/>
      <c r="CP195" s="243"/>
      <c r="CQ195" s="243"/>
      <c r="CR195" s="243"/>
      <c r="CS195" s="243"/>
      <c r="CT195" s="243"/>
      <c r="CU195" s="243"/>
      <c r="CV195" s="243"/>
    </row>
    <row r="196" spans="1:100" ht="15.75">
      <c r="A196" s="273"/>
      <c r="B196" s="274"/>
      <c r="C196" s="164"/>
      <c r="D196" s="164"/>
      <c r="E196" s="164"/>
      <c r="F196" s="164"/>
      <c r="G196" s="164"/>
      <c r="H196" s="164"/>
      <c r="I196" s="164"/>
      <c r="J196" s="164"/>
      <c r="K196" s="164"/>
      <c r="L196" s="164"/>
      <c r="M196" s="164"/>
      <c r="N196" s="164"/>
      <c r="O196" s="164"/>
      <c r="P196" s="164"/>
      <c r="Q196" s="164"/>
      <c r="R196" s="164"/>
      <c r="S196" s="164"/>
      <c r="T196" s="164"/>
      <c r="U196" s="164"/>
      <c r="V196" s="164"/>
      <c r="W196" s="242"/>
      <c r="X196" s="242"/>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c r="BZ196" s="243"/>
      <c r="CA196" s="243"/>
      <c r="CB196" s="243"/>
      <c r="CC196" s="243"/>
      <c r="CD196" s="243"/>
      <c r="CE196" s="243"/>
      <c r="CF196" s="243"/>
      <c r="CG196" s="243"/>
      <c r="CH196" s="243"/>
      <c r="CI196" s="243"/>
      <c r="CJ196" s="243"/>
      <c r="CK196" s="243"/>
      <c r="CL196" s="243"/>
      <c r="CM196" s="243"/>
      <c r="CN196" s="243"/>
      <c r="CO196" s="243"/>
      <c r="CP196" s="243"/>
      <c r="CQ196" s="243"/>
      <c r="CR196" s="243"/>
      <c r="CS196" s="243"/>
      <c r="CT196" s="243"/>
      <c r="CU196" s="243"/>
      <c r="CV196" s="243"/>
    </row>
    <row r="197" spans="1:100" ht="15.75">
      <c r="A197" s="273"/>
      <c r="B197" s="274"/>
      <c r="C197" s="164"/>
      <c r="D197" s="164"/>
      <c r="E197" s="164"/>
      <c r="F197" s="164"/>
      <c r="G197" s="164"/>
      <c r="H197" s="164"/>
      <c r="I197" s="164"/>
      <c r="J197" s="164"/>
      <c r="K197" s="164"/>
      <c r="L197" s="164"/>
      <c r="M197" s="164"/>
      <c r="N197" s="164"/>
      <c r="O197" s="164"/>
      <c r="P197" s="164"/>
      <c r="Q197" s="164"/>
      <c r="R197" s="164"/>
      <c r="S197" s="164"/>
      <c r="T197" s="164"/>
      <c r="U197" s="164"/>
      <c r="V197" s="164"/>
      <c r="W197" s="242"/>
      <c r="X197" s="242"/>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c r="BZ197" s="243"/>
      <c r="CA197" s="243"/>
      <c r="CB197" s="243"/>
      <c r="CC197" s="243"/>
      <c r="CD197" s="243"/>
      <c r="CE197" s="243"/>
      <c r="CF197" s="243"/>
      <c r="CG197" s="243"/>
      <c r="CH197" s="243"/>
      <c r="CI197" s="243"/>
      <c r="CJ197" s="243"/>
      <c r="CK197" s="243"/>
      <c r="CL197" s="243"/>
      <c r="CM197" s="243"/>
      <c r="CN197" s="243"/>
      <c r="CO197" s="243"/>
      <c r="CP197" s="243"/>
      <c r="CQ197" s="243"/>
      <c r="CR197" s="243"/>
      <c r="CS197" s="243"/>
      <c r="CT197" s="243"/>
      <c r="CU197" s="243"/>
      <c r="CV197" s="243"/>
    </row>
    <row r="198" spans="1:100" ht="15.75">
      <c r="A198" s="273"/>
      <c r="B198" s="274"/>
      <c r="C198" s="164"/>
      <c r="D198" s="164"/>
      <c r="E198" s="164"/>
      <c r="F198" s="164"/>
      <c r="G198" s="164"/>
      <c r="H198" s="164"/>
      <c r="I198" s="164"/>
      <c r="J198" s="164"/>
      <c r="K198" s="164"/>
      <c r="L198" s="164"/>
      <c r="M198" s="164"/>
      <c r="N198" s="164"/>
      <c r="O198" s="164"/>
      <c r="P198" s="164"/>
      <c r="Q198" s="164"/>
      <c r="R198" s="164"/>
      <c r="S198" s="164"/>
      <c r="T198" s="164"/>
      <c r="U198" s="164"/>
      <c r="V198" s="164"/>
      <c r="W198" s="242"/>
      <c r="X198" s="242"/>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c r="BZ198" s="243"/>
      <c r="CA198" s="243"/>
      <c r="CB198" s="243"/>
      <c r="CC198" s="243"/>
      <c r="CD198" s="243"/>
      <c r="CE198" s="243"/>
      <c r="CF198" s="243"/>
      <c r="CG198" s="243"/>
      <c r="CH198" s="243"/>
      <c r="CI198" s="243"/>
      <c r="CJ198" s="243"/>
      <c r="CK198" s="243"/>
      <c r="CL198" s="243"/>
      <c r="CM198" s="243"/>
      <c r="CN198" s="243"/>
      <c r="CO198" s="243"/>
      <c r="CP198" s="243"/>
      <c r="CQ198" s="243"/>
      <c r="CR198" s="243"/>
      <c r="CS198" s="243"/>
      <c r="CT198" s="243"/>
      <c r="CU198" s="243"/>
      <c r="CV198" s="243"/>
    </row>
    <row r="199" spans="1:100" ht="15.75">
      <c r="A199" s="273"/>
      <c r="B199" s="274"/>
      <c r="C199" s="164"/>
      <c r="D199" s="164"/>
      <c r="E199" s="164"/>
      <c r="F199" s="164"/>
      <c r="G199" s="164"/>
      <c r="H199" s="164"/>
      <c r="I199" s="164"/>
      <c r="J199" s="164"/>
      <c r="K199" s="164"/>
      <c r="L199" s="164"/>
      <c r="M199" s="164"/>
      <c r="N199" s="164"/>
      <c r="O199" s="164"/>
      <c r="P199" s="164"/>
      <c r="Q199" s="164"/>
      <c r="R199" s="164"/>
      <c r="S199" s="164"/>
      <c r="T199" s="164"/>
      <c r="U199" s="164"/>
      <c r="V199" s="164"/>
      <c r="W199" s="242"/>
      <c r="X199" s="242"/>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c r="BZ199" s="243"/>
      <c r="CA199" s="243"/>
      <c r="CB199" s="243"/>
      <c r="CC199" s="243"/>
      <c r="CD199" s="243"/>
      <c r="CE199" s="243"/>
      <c r="CF199" s="243"/>
      <c r="CG199" s="243"/>
      <c r="CH199" s="243"/>
      <c r="CI199" s="243"/>
      <c r="CJ199" s="243"/>
      <c r="CK199" s="243"/>
      <c r="CL199" s="243"/>
      <c r="CM199" s="243"/>
      <c r="CN199" s="243"/>
      <c r="CO199" s="243"/>
      <c r="CP199" s="243"/>
      <c r="CQ199" s="243"/>
      <c r="CR199" s="243"/>
      <c r="CS199" s="243"/>
      <c r="CT199" s="243"/>
      <c r="CU199" s="243"/>
      <c r="CV199" s="243"/>
    </row>
    <row r="200" spans="1:100" ht="15.75">
      <c r="A200" s="273"/>
      <c r="B200" s="274"/>
      <c r="C200" s="164"/>
      <c r="D200" s="164"/>
      <c r="E200" s="164"/>
      <c r="F200" s="164"/>
      <c r="G200" s="164"/>
      <c r="H200" s="164"/>
      <c r="I200" s="164"/>
      <c r="J200" s="164"/>
      <c r="K200" s="164"/>
      <c r="L200" s="164"/>
      <c r="M200" s="164"/>
      <c r="N200" s="164"/>
      <c r="O200" s="164"/>
      <c r="P200" s="164"/>
      <c r="Q200" s="164"/>
      <c r="R200" s="164"/>
      <c r="S200" s="164"/>
      <c r="T200" s="164"/>
      <c r="U200" s="164"/>
      <c r="V200" s="164"/>
      <c r="W200" s="242"/>
      <c r="X200" s="242"/>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c r="BZ200" s="243"/>
      <c r="CA200" s="243"/>
      <c r="CB200" s="243"/>
      <c r="CC200" s="243"/>
      <c r="CD200" s="243"/>
      <c r="CE200" s="243"/>
      <c r="CF200" s="243"/>
      <c r="CG200" s="243"/>
      <c r="CH200" s="243"/>
      <c r="CI200" s="243"/>
      <c r="CJ200" s="243"/>
      <c r="CK200" s="243"/>
      <c r="CL200" s="243"/>
      <c r="CM200" s="243"/>
      <c r="CN200" s="243"/>
      <c r="CO200" s="243"/>
      <c r="CP200" s="243"/>
      <c r="CQ200" s="243"/>
      <c r="CR200" s="243"/>
      <c r="CS200" s="243"/>
      <c r="CT200" s="243"/>
      <c r="CU200" s="243"/>
      <c r="CV200" s="243"/>
    </row>
    <row r="201" spans="1:100" ht="15.75">
      <c r="A201" s="273"/>
      <c r="B201" s="274"/>
      <c r="C201" s="164"/>
      <c r="D201" s="164"/>
      <c r="E201" s="164"/>
      <c r="F201" s="164"/>
      <c r="G201" s="164"/>
      <c r="H201" s="164"/>
      <c r="I201" s="164"/>
      <c r="J201" s="164"/>
      <c r="K201" s="164"/>
      <c r="L201" s="164"/>
      <c r="M201" s="164"/>
      <c r="N201" s="164"/>
      <c r="O201" s="164"/>
      <c r="P201" s="164"/>
      <c r="Q201" s="164"/>
      <c r="R201" s="164"/>
      <c r="S201" s="164"/>
      <c r="T201" s="164"/>
      <c r="U201" s="164"/>
      <c r="V201" s="164"/>
      <c r="W201" s="242"/>
      <c r="X201" s="242"/>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c r="BZ201" s="243"/>
      <c r="CA201" s="243"/>
      <c r="CB201" s="243"/>
      <c r="CC201" s="243"/>
      <c r="CD201" s="243"/>
      <c r="CE201" s="243"/>
      <c r="CF201" s="243"/>
      <c r="CG201" s="243"/>
      <c r="CH201" s="243"/>
      <c r="CI201" s="243"/>
      <c r="CJ201" s="243"/>
      <c r="CK201" s="243"/>
      <c r="CL201" s="243"/>
      <c r="CM201" s="243"/>
      <c r="CN201" s="243"/>
      <c r="CO201" s="243"/>
      <c r="CP201" s="243"/>
      <c r="CQ201" s="243"/>
      <c r="CR201" s="243"/>
      <c r="CS201" s="243"/>
      <c r="CT201" s="243"/>
      <c r="CU201" s="243"/>
      <c r="CV201" s="243"/>
    </row>
    <row r="202" spans="1:100" ht="15.75">
      <c r="A202" s="273"/>
      <c r="B202" s="274"/>
      <c r="C202" s="164"/>
      <c r="D202" s="164"/>
      <c r="E202" s="164"/>
      <c r="F202" s="164"/>
      <c r="G202" s="164"/>
      <c r="H202" s="164"/>
      <c r="I202" s="164"/>
      <c r="J202" s="164"/>
      <c r="K202" s="164"/>
      <c r="L202" s="164"/>
      <c r="M202" s="164"/>
      <c r="N202" s="164"/>
      <c r="O202" s="164"/>
      <c r="P202" s="164"/>
      <c r="Q202" s="164"/>
      <c r="R202" s="164"/>
      <c r="S202" s="164"/>
      <c r="T202" s="164"/>
      <c r="U202" s="164"/>
      <c r="V202" s="164"/>
      <c r="W202" s="242"/>
      <c r="X202" s="242"/>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c r="BZ202" s="243"/>
      <c r="CA202" s="243"/>
      <c r="CB202" s="243"/>
      <c r="CC202" s="243"/>
      <c r="CD202" s="243"/>
      <c r="CE202" s="243"/>
      <c r="CF202" s="243"/>
      <c r="CG202" s="243"/>
      <c r="CH202" s="243"/>
      <c r="CI202" s="243"/>
      <c r="CJ202" s="243"/>
      <c r="CK202" s="243"/>
      <c r="CL202" s="243"/>
      <c r="CM202" s="243"/>
      <c r="CN202" s="243"/>
      <c r="CO202" s="243"/>
      <c r="CP202" s="243"/>
      <c r="CQ202" s="243"/>
      <c r="CR202" s="243"/>
      <c r="CS202" s="243"/>
      <c r="CT202" s="243"/>
      <c r="CU202" s="243"/>
      <c r="CV202" s="243"/>
    </row>
    <row r="203" spans="1:100" ht="15.75">
      <c r="A203" s="273"/>
      <c r="B203" s="274"/>
      <c r="C203" s="164"/>
      <c r="D203" s="164"/>
      <c r="E203" s="164"/>
      <c r="F203" s="164"/>
      <c r="G203" s="164"/>
      <c r="H203" s="164"/>
      <c r="I203" s="164"/>
      <c r="J203" s="164"/>
      <c r="K203" s="164"/>
      <c r="L203" s="164"/>
      <c r="M203" s="164"/>
      <c r="N203" s="164"/>
      <c r="O203" s="164"/>
      <c r="P203" s="164"/>
      <c r="Q203" s="164"/>
      <c r="R203" s="164"/>
      <c r="S203" s="164"/>
      <c r="T203" s="164"/>
      <c r="U203" s="164"/>
      <c r="V203" s="164"/>
      <c r="W203" s="242"/>
      <c r="X203" s="242"/>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c r="BZ203" s="243"/>
      <c r="CA203" s="243"/>
      <c r="CB203" s="243"/>
      <c r="CC203" s="243"/>
      <c r="CD203" s="243"/>
      <c r="CE203" s="243"/>
      <c r="CF203" s="243"/>
      <c r="CG203" s="243"/>
      <c r="CH203" s="243"/>
      <c r="CI203" s="243"/>
      <c r="CJ203" s="243"/>
      <c r="CK203" s="243"/>
      <c r="CL203" s="243"/>
      <c r="CM203" s="243"/>
      <c r="CN203" s="243"/>
      <c r="CO203" s="243"/>
      <c r="CP203" s="243"/>
      <c r="CQ203" s="243"/>
      <c r="CR203" s="243"/>
      <c r="CS203" s="243"/>
      <c r="CT203" s="243"/>
      <c r="CU203" s="243"/>
      <c r="CV203" s="243"/>
    </row>
    <row r="204" spans="1:100" ht="15.75">
      <c r="A204" s="273"/>
      <c r="B204" s="274"/>
      <c r="C204" s="164"/>
      <c r="D204" s="164"/>
      <c r="E204" s="164"/>
      <c r="F204" s="164"/>
      <c r="G204" s="164"/>
      <c r="H204" s="164"/>
      <c r="I204" s="164"/>
      <c r="J204" s="164"/>
      <c r="K204" s="164"/>
      <c r="L204" s="164"/>
      <c r="M204" s="164"/>
      <c r="N204" s="164"/>
      <c r="O204" s="164"/>
      <c r="P204" s="164"/>
      <c r="Q204" s="164"/>
      <c r="R204" s="164"/>
      <c r="S204" s="164"/>
      <c r="T204" s="164"/>
      <c r="U204" s="164"/>
      <c r="V204" s="164"/>
      <c r="W204" s="242"/>
      <c r="X204" s="242"/>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c r="BZ204" s="243"/>
      <c r="CA204" s="243"/>
      <c r="CB204" s="243"/>
      <c r="CC204" s="243"/>
      <c r="CD204" s="243"/>
      <c r="CE204" s="243"/>
      <c r="CF204" s="243"/>
      <c r="CG204" s="243"/>
      <c r="CH204" s="243"/>
      <c r="CI204" s="243"/>
      <c r="CJ204" s="243"/>
      <c r="CK204" s="243"/>
      <c r="CL204" s="243"/>
      <c r="CM204" s="243"/>
      <c r="CN204" s="243"/>
      <c r="CO204" s="243"/>
      <c r="CP204" s="243"/>
      <c r="CQ204" s="243"/>
      <c r="CR204" s="243"/>
      <c r="CS204" s="243"/>
      <c r="CT204" s="243"/>
      <c r="CU204" s="243"/>
      <c r="CV204" s="243"/>
    </row>
    <row r="205" spans="1:100" ht="15.75">
      <c r="A205" s="273"/>
      <c r="B205" s="274"/>
      <c r="C205" s="164"/>
      <c r="D205" s="164"/>
      <c r="E205" s="164"/>
      <c r="F205" s="164"/>
      <c r="G205" s="164"/>
      <c r="H205" s="164"/>
      <c r="I205" s="164"/>
      <c r="J205" s="164"/>
      <c r="K205" s="164"/>
      <c r="L205" s="164"/>
      <c r="M205" s="164"/>
      <c r="N205" s="164"/>
      <c r="O205" s="164"/>
      <c r="P205" s="164"/>
      <c r="Q205" s="164"/>
      <c r="R205" s="164"/>
      <c r="S205" s="164"/>
      <c r="T205" s="164"/>
      <c r="U205" s="164"/>
      <c r="V205" s="164"/>
      <c r="W205" s="242"/>
      <c r="X205" s="242"/>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c r="BZ205" s="243"/>
      <c r="CA205" s="243"/>
      <c r="CB205" s="243"/>
      <c r="CC205" s="243"/>
      <c r="CD205" s="243"/>
      <c r="CE205" s="243"/>
      <c r="CF205" s="243"/>
      <c r="CG205" s="243"/>
      <c r="CH205" s="243"/>
      <c r="CI205" s="243"/>
      <c r="CJ205" s="243"/>
      <c r="CK205" s="243"/>
      <c r="CL205" s="243"/>
      <c r="CM205" s="243"/>
      <c r="CN205" s="243"/>
      <c r="CO205" s="243"/>
      <c r="CP205" s="243"/>
      <c r="CQ205" s="243"/>
      <c r="CR205" s="243"/>
      <c r="CS205" s="243"/>
      <c r="CT205" s="243"/>
      <c r="CU205" s="243"/>
      <c r="CV205" s="243"/>
    </row>
    <row r="206" spans="1:100" ht="15.75">
      <c r="A206" s="273"/>
      <c r="B206" s="274"/>
      <c r="C206" s="164"/>
      <c r="D206" s="164"/>
      <c r="E206" s="164"/>
      <c r="F206" s="164"/>
      <c r="G206" s="164"/>
      <c r="H206" s="164"/>
      <c r="I206" s="164"/>
      <c r="J206" s="164"/>
      <c r="K206" s="164"/>
      <c r="L206" s="164"/>
      <c r="M206" s="164"/>
      <c r="N206" s="164"/>
      <c r="O206" s="164"/>
      <c r="P206" s="164"/>
      <c r="Q206" s="164"/>
      <c r="R206" s="164"/>
      <c r="S206" s="164"/>
      <c r="T206" s="164"/>
      <c r="U206" s="164"/>
      <c r="V206" s="164"/>
      <c r="W206" s="242"/>
      <c r="X206" s="242"/>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c r="BZ206" s="243"/>
      <c r="CA206" s="243"/>
      <c r="CB206" s="243"/>
      <c r="CC206" s="243"/>
      <c r="CD206" s="243"/>
      <c r="CE206" s="243"/>
      <c r="CF206" s="243"/>
      <c r="CG206" s="243"/>
      <c r="CH206" s="243"/>
      <c r="CI206" s="243"/>
      <c r="CJ206" s="243"/>
      <c r="CK206" s="243"/>
      <c r="CL206" s="243"/>
      <c r="CM206" s="243"/>
      <c r="CN206" s="243"/>
      <c r="CO206" s="243"/>
      <c r="CP206" s="243"/>
      <c r="CQ206" s="243"/>
      <c r="CR206" s="243"/>
      <c r="CS206" s="243"/>
      <c r="CT206" s="243"/>
      <c r="CU206" s="243"/>
      <c r="CV206" s="243"/>
    </row>
    <row r="207" spans="1:100" ht="15.75">
      <c r="A207" s="273"/>
      <c r="B207" s="274"/>
      <c r="C207" s="164"/>
      <c r="D207" s="164"/>
      <c r="E207" s="164"/>
      <c r="F207" s="164"/>
      <c r="G207" s="164"/>
      <c r="H207" s="164"/>
      <c r="I207" s="164"/>
      <c r="J207" s="164"/>
      <c r="K207" s="164"/>
      <c r="L207" s="164"/>
      <c r="M207" s="164"/>
      <c r="N207" s="164"/>
      <c r="O207" s="164"/>
      <c r="P207" s="164"/>
      <c r="Q207" s="164"/>
      <c r="R207" s="164"/>
      <c r="S207" s="164"/>
      <c r="T207" s="164"/>
      <c r="U207" s="164"/>
      <c r="V207" s="164"/>
      <c r="W207" s="242"/>
      <c r="X207" s="242"/>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c r="BZ207" s="243"/>
      <c r="CA207" s="243"/>
      <c r="CB207" s="243"/>
      <c r="CC207" s="243"/>
      <c r="CD207" s="243"/>
      <c r="CE207" s="243"/>
      <c r="CF207" s="243"/>
      <c r="CG207" s="243"/>
      <c r="CH207" s="243"/>
      <c r="CI207" s="243"/>
      <c r="CJ207" s="243"/>
      <c r="CK207" s="243"/>
      <c r="CL207" s="243"/>
      <c r="CM207" s="243"/>
      <c r="CN207" s="243"/>
      <c r="CO207" s="243"/>
      <c r="CP207" s="243"/>
      <c r="CQ207" s="243"/>
      <c r="CR207" s="243"/>
      <c r="CS207" s="243"/>
      <c r="CT207" s="243"/>
      <c r="CU207" s="243"/>
      <c r="CV207" s="243"/>
    </row>
    <row r="208" spans="1:100" ht="15.75">
      <c r="A208" s="273"/>
      <c r="B208" s="274"/>
      <c r="C208" s="164"/>
      <c r="D208" s="164"/>
      <c r="E208" s="164"/>
      <c r="F208" s="164"/>
      <c r="G208" s="164"/>
      <c r="H208" s="164"/>
      <c r="I208" s="164"/>
      <c r="J208" s="164"/>
      <c r="K208" s="164"/>
      <c r="L208" s="164"/>
      <c r="M208" s="164"/>
      <c r="N208" s="164"/>
      <c r="O208" s="164"/>
      <c r="P208" s="164"/>
      <c r="Q208" s="164"/>
      <c r="R208" s="164"/>
      <c r="S208" s="164"/>
      <c r="T208" s="164"/>
      <c r="U208" s="164"/>
      <c r="V208" s="164"/>
      <c r="W208" s="242"/>
      <c r="X208" s="242"/>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c r="BZ208" s="243"/>
      <c r="CA208" s="243"/>
      <c r="CB208" s="243"/>
      <c r="CC208" s="243"/>
      <c r="CD208" s="243"/>
      <c r="CE208" s="243"/>
      <c r="CF208" s="243"/>
      <c r="CG208" s="243"/>
      <c r="CH208" s="243"/>
      <c r="CI208" s="243"/>
      <c r="CJ208" s="243"/>
      <c r="CK208" s="243"/>
      <c r="CL208" s="243"/>
      <c r="CM208" s="243"/>
      <c r="CN208" s="243"/>
      <c r="CO208" s="243"/>
      <c r="CP208" s="243"/>
      <c r="CQ208" s="243"/>
      <c r="CR208" s="243"/>
      <c r="CS208" s="243"/>
      <c r="CT208" s="243"/>
      <c r="CU208" s="243"/>
      <c r="CV208" s="243"/>
    </row>
    <row r="209" spans="1:100" ht="15.75">
      <c r="A209" s="273"/>
      <c r="B209" s="274"/>
      <c r="C209" s="164"/>
      <c r="D209" s="164"/>
      <c r="E209" s="164"/>
      <c r="F209" s="164"/>
      <c r="G209" s="164"/>
      <c r="H209" s="164"/>
      <c r="I209" s="164"/>
      <c r="J209" s="164"/>
      <c r="K209" s="164"/>
      <c r="L209" s="164"/>
      <c r="M209" s="164"/>
      <c r="N209" s="164"/>
      <c r="O209" s="164"/>
      <c r="P209" s="164"/>
      <c r="Q209" s="164"/>
      <c r="R209" s="164"/>
      <c r="S209" s="164"/>
      <c r="T209" s="164"/>
      <c r="U209" s="164"/>
      <c r="V209" s="164"/>
      <c r="W209" s="242"/>
      <c r="X209" s="242"/>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c r="BZ209" s="243"/>
      <c r="CA209" s="243"/>
      <c r="CB209" s="243"/>
      <c r="CC209" s="243"/>
      <c r="CD209" s="243"/>
      <c r="CE209" s="243"/>
      <c r="CF209" s="243"/>
      <c r="CG209" s="243"/>
      <c r="CH209" s="243"/>
      <c r="CI209" s="243"/>
      <c r="CJ209" s="243"/>
      <c r="CK209" s="243"/>
      <c r="CL209" s="243"/>
      <c r="CM209" s="243"/>
      <c r="CN209" s="243"/>
      <c r="CO209" s="243"/>
      <c r="CP209" s="243"/>
      <c r="CQ209" s="243"/>
      <c r="CR209" s="243"/>
      <c r="CS209" s="243"/>
      <c r="CT209" s="243"/>
      <c r="CU209" s="243"/>
      <c r="CV209" s="243"/>
    </row>
    <row r="210" spans="1:100" ht="15.75">
      <c r="A210" s="273"/>
      <c r="B210" s="274"/>
      <c r="C210" s="164"/>
      <c r="D210" s="164"/>
      <c r="E210" s="164"/>
      <c r="F210" s="164"/>
      <c r="G210" s="164"/>
      <c r="H210" s="164"/>
      <c r="I210" s="164"/>
      <c r="J210" s="164"/>
      <c r="K210" s="164"/>
      <c r="L210" s="164"/>
      <c r="M210" s="164"/>
      <c r="N210" s="164"/>
      <c r="O210" s="164"/>
      <c r="P210" s="164"/>
      <c r="Q210" s="164"/>
      <c r="R210" s="164"/>
      <c r="S210" s="164"/>
      <c r="T210" s="164"/>
      <c r="U210" s="164"/>
      <c r="V210" s="164"/>
      <c r="W210" s="242"/>
      <c r="X210" s="242"/>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c r="BZ210" s="243"/>
      <c r="CA210" s="243"/>
      <c r="CB210" s="243"/>
      <c r="CC210" s="243"/>
      <c r="CD210" s="243"/>
      <c r="CE210" s="243"/>
      <c r="CF210" s="243"/>
      <c r="CG210" s="243"/>
      <c r="CH210" s="243"/>
      <c r="CI210" s="243"/>
      <c r="CJ210" s="243"/>
      <c r="CK210" s="243"/>
      <c r="CL210" s="243"/>
      <c r="CM210" s="243"/>
      <c r="CN210" s="243"/>
      <c r="CO210" s="243"/>
      <c r="CP210" s="243"/>
      <c r="CQ210" s="243"/>
      <c r="CR210" s="243"/>
      <c r="CS210" s="243"/>
      <c r="CT210" s="243"/>
      <c r="CU210" s="243"/>
      <c r="CV210" s="243"/>
    </row>
    <row r="211" spans="1:100" ht="15.75">
      <c r="A211" s="273"/>
      <c r="B211" s="274"/>
      <c r="C211" s="164"/>
      <c r="D211" s="164"/>
      <c r="E211" s="164"/>
      <c r="F211" s="164"/>
      <c r="G211" s="164"/>
      <c r="H211" s="164"/>
      <c r="I211" s="164"/>
      <c r="J211" s="164"/>
      <c r="K211" s="164"/>
      <c r="L211" s="164"/>
      <c r="M211" s="164"/>
      <c r="N211" s="164"/>
      <c r="O211" s="164"/>
      <c r="P211" s="164"/>
      <c r="Q211" s="164"/>
      <c r="R211" s="164"/>
      <c r="S211" s="164"/>
      <c r="T211" s="164"/>
      <c r="U211" s="164"/>
      <c r="V211" s="164"/>
      <c r="W211" s="242"/>
      <c r="X211" s="242"/>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c r="BZ211" s="243"/>
      <c r="CA211" s="243"/>
      <c r="CB211" s="243"/>
      <c r="CC211" s="243"/>
      <c r="CD211" s="243"/>
      <c r="CE211" s="243"/>
      <c r="CF211" s="243"/>
      <c r="CG211" s="243"/>
      <c r="CH211" s="243"/>
      <c r="CI211" s="243"/>
      <c r="CJ211" s="243"/>
      <c r="CK211" s="243"/>
      <c r="CL211" s="243"/>
      <c r="CM211" s="243"/>
      <c r="CN211" s="243"/>
      <c r="CO211" s="243"/>
      <c r="CP211" s="243"/>
      <c r="CQ211" s="243"/>
      <c r="CR211" s="243"/>
      <c r="CS211" s="243"/>
      <c r="CT211" s="243"/>
      <c r="CU211" s="243"/>
      <c r="CV211" s="243"/>
    </row>
    <row r="212" spans="1:100" ht="15.75">
      <c r="A212" s="273"/>
      <c r="B212" s="274"/>
      <c r="C212" s="164"/>
      <c r="D212" s="164"/>
      <c r="E212" s="164"/>
      <c r="F212" s="164"/>
      <c r="G212" s="164"/>
      <c r="H212" s="164"/>
      <c r="I212" s="164"/>
      <c r="J212" s="164"/>
      <c r="K212" s="164"/>
      <c r="L212" s="164"/>
      <c r="M212" s="164"/>
      <c r="N212" s="164"/>
      <c r="O212" s="164"/>
      <c r="P212" s="164"/>
      <c r="Q212" s="164"/>
      <c r="R212" s="164"/>
      <c r="S212" s="164"/>
      <c r="T212" s="164"/>
      <c r="U212" s="164"/>
      <c r="V212" s="164"/>
      <c r="W212" s="242"/>
      <c r="X212" s="242"/>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c r="BZ212" s="243"/>
      <c r="CA212" s="243"/>
      <c r="CB212" s="243"/>
      <c r="CC212" s="243"/>
      <c r="CD212" s="243"/>
      <c r="CE212" s="243"/>
      <c r="CF212" s="243"/>
      <c r="CG212" s="243"/>
      <c r="CH212" s="243"/>
      <c r="CI212" s="243"/>
      <c r="CJ212" s="243"/>
      <c r="CK212" s="243"/>
      <c r="CL212" s="243"/>
      <c r="CM212" s="243"/>
      <c r="CN212" s="243"/>
      <c r="CO212" s="243"/>
      <c r="CP212" s="243"/>
      <c r="CQ212" s="243"/>
      <c r="CR212" s="243"/>
      <c r="CS212" s="243"/>
      <c r="CT212" s="243"/>
      <c r="CU212" s="243"/>
      <c r="CV212" s="243"/>
    </row>
    <row r="213" spans="1:100" ht="15.75">
      <c r="A213" s="273"/>
      <c r="B213" s="274"/>
      <c r="C213" s="164"/>
      <c r="D213" s="164"/>
      <c r="E213" s="164"/>
      <c r="F213" s="164"/>
      <c r="G213" s="164"/>
      <c r="H213" s="164"/>
      <c r="I213" s="164"/>
      <c r="J213" s="164"/>
      <c r="K213" s="164"/>
      <c r="L213" s="164"/>
      <c r="M213" s="164"/>
      <c r="N213" s="164"/>
      <c r="O213" s="164"/>
      <c r="P213" s="164"/>
      <c r="Q213" s="164"/>
      <c r="R213" s="164"/>
      <c r="S213" s="164"/>
      <c r="T213" s="164"/>
      <c r="U213" s="164"/>
      <c r="V213" s="164"/>
      <c r="W213" s="242"/>
      <c r="X213" s="242"/>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c r="BZ213" s="243"/>
      <c r="CA213" s="243"/>
      <c r="CB213" s="243"/>
      <c r="CC213" s="243"/>
      <c r="CD213" s="243"/>
      <c r="CE213" s="243"/>
      <c r="CF213" s="243"/>
      <c r="CG213" s="243"/>
      <c r="CH213" s="243"/>
      <c r="CI213" s="243"/>
      <c r="CJ213" s="243"/>
      <c r="CK213" s="243"/>
      <c r="CL213" s="243"/>
      <c r="CM213" s="243"/>
      <c r="CN213" s="243"/>
      <c r="CO213" s="243"/>
      <c r="CP213" s="243"/>
      <c r="CQ213" s="243"/>
      <c r="CR213" s="243"/>
      <c r="CS213" s="243"/>
      <c r="CT213" s="243"/>
      <c r="CU213" s="243"/>
      <c r="CV213" s="243"/>
    </row>
    <row r="214" spans="1:100" ht="15.75">
      <c r="A214" s="273"/>
      <c r="B214" s="274"/>
      <c r="C214" s="164"/>
      <c r="D214" s="164"/>
      <c r="E214" s="164"/>
      <c r="F214" s="164"/>
      <c r="G214" s="164"/>
      <c r="H214" s="164"/>
      <c r="I214" s="164"/>
      <c r="J214" s="164"/>
      <c r="K214" s="164"/>
      <c r="L214" s="164"/>
      <c r="M214" s="164"/>
      <c r="N214" s="164"/>
      <c r="O214" s="164"/>
      <c r="P214" s="164"/>
      <c r="Q214" s="164"/>
      <c r="R214" s="164"/>
      <c r="S214" s="164"/>
      <c r="T214" s="164"/>
      <c r="U214" s="164"/>
      <c r="V214" s="164"/>
      <c r="W214" s="242"/>
      <c r="X214" s="242"/>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c r="BZ214" s="243"/>
      <c r="CA214" s="243"/>
      <c r="CB214" s="243"/>
      <c r="CC214" s="243"/>
      <c r="CD214" s="243"/>
      <c r="CE214" s="243"/>
      <c r="CF214" s="243"/>
      <c r="CG214" s="243"/>
      <c r="CH214" s="243"/>
      <c r="CI214" s="243"/>
      <c r="CJ214" s="243"/>
      <c r="CK214" s="243"/>
      <c r="CL214" s="243"/>
      <c r="CM214" s="243"/>
      <c r="CN214" s="243"/>
      <c r="CO214" s="243"/>
      <c r="CP214" s="243"/>
      <c r="CQ214" s="243"/>
      <c r="CR214" s="243"/>
      <c r="CS214" s="243"/>
      <c r="CT214" s="243"/>
      <c r="CU214" s="243"/>
      <c r="CV214" s="243"/>
    </row>
    <row r="215" spans="1:100" ht="15.75">
      <c r="A215" s="273"/>
      <c r="B215" s="274"/>
      <c r="C215" s="164"/>
      <c r="D215" s="164"/>
      <c r="E215" s="164"/>
      <c r="F215" s="164"/>
      <c r="G215" s="164"/>
      <c r="H215" s="164"/>
      <c r="I215" s="164"/>
      <c r="J215" s="164"/>
      <c r="K215" s="164"/>
      <c r="L215" s="164"/>
      <c r="M215" s="164"/>
      <c r="N215" s="164"/>
      <c r="O215" s="164"/>
      <c r="P215" s="164"/>
      <c r="Q215" s="164"/>
      <c r="R215" s="164"/>
      <c r="S215" s="164"/>
      <c r="T215" s="164"/>
      <c r="U215" s="164"/>
      <c r="V215" s="164"/>
      <c r="W215" s="242"/>
      <c r="X215" s="242"/>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c r="BZ215" s="243"/>
      <c r="CA215" s="243"/>
      <c r="CB215" s="243"/>
      <c r="CC215" s="243"/>
      <c r="CD215" s="243"/>
      <c r="CE215" s="243"/>
      <c r="CF215" s="243"/>
      <c r="CG215" s="243"/>
      <c r="CH215" s="243"/>
      <c r="CI215" s="243"/>
      <c r="CJ215" s="243"/>
      <c r="CK215" s="243"/>
      <c r="CL215" s="243"/>
      <c r="CM215" s="243"/>
      <c r="CN215" s="243"/>
      <c r="CO215" s="243"/>
      <c r="CP215" s="243"/>
      <c r="CQ215" s="243"/>
      <c r="CR215" s="243"/>
      <c r="CS215" s="243"/>
      <c r="CT215" s="243"/>
      <c r="CU215" s="243"/>
      <c r="CV215" s="243"/>
    </row>
    <row r="216" spans="1:100" ht="15.75">
      <c r="A216" s="273"/>
      <c r="B216" s="274"/>
      <c r="C216" s="164"/>
      <c r="D216" s="164"/>
      <c r="E216" s="164"/>
      <c r="F216" s="164"/>
      <c r="G216" s="164"/>
      <c r="H216" s="164"/>
      <c r="I216" s="164"/>
      <c r="J216" s="164"/>
      <c r="K216" s="164"/>
      <c r="L216" s="164"/>
      <c r="M216" s="164"/>
      <c r="N216" s="164"/>
      <c r="O216" s="164"/>
      <c r="P216" s="164"/>
      <c r="Q216" s="164"/>
      <c r="R216" s="164"/>
      <c r="S216" s="164"/>
      <c r="T216" s="164"/>
      <c r="U216" s="164"/>
      <c r="V216" s="164"/>
      <c r="W216" s="242"/>
      <c r="X216" s="242"/>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c r="BZ216" s="243"/>
      <c r="CA216" s="243"/>
      <c r="CB216" s="243"/>
      <c r="CC216" s="243"/>
      <c r="CD216" s="243"/>
      <c r="CE216" s="243"/>
      <c r="CF216" s="243"/>
      <c r="CG216" s="243"/>
      <c r="CH216" s="243"/>
      <c r="CI216" s="243"/>
      <c r="CJ216" s="243"/>
      <c r="CK216" s="243"/>
      <c r="CL216" s="243"/>
      <c r="CM216" s="243"/>
      <c r="CN216" s="243"/>
      <c r="CO216" s="243"/>
      <c r="CP216" s="243"/>
      <c r="CQ216" s="243"/>
      <c r="CR216" s="243"/>
      <c r="CS216" s="243"/>
      <c r="CT216" s="243"/>
      <c r="CU216" s="243"/>
      <c r="CV216" s="243"/>
    </row>
    <row r="217" spans="1:100" ht="15.75">
      <c r="A217" s="273"/>
      <c r="B217" s="274"/>
      <c r="C217" s="164"/>
      <c r="D217" s="164"/>
      <c r="E217" s="164"/>
      <c r="F217" s="164"/>
      <c r="G217" s="164"/>
      <c r="H217" s="164"/>
      <c r="I217" s="164"/>
      <c r="J217" s="164"/>
      <c r="K217" s="164"/>
      <c r="L217" s="164"/>
      <c r="M217" s="164"/>
      <c r="N217" s="164"/>
      <c r="O217" s="164"/>
      <c r="P217" s="164"/>
      <c r="Q217" s="164"/>
      <c r="R217" s="164"/>
      <c r="S217" s="164"/>
      <c r="T217" s="164"/>
      <c r="U217" s="164"/>
      <c r="V217" s="164"/>
      <c r="W217" s="242"/>
      <c r="X217" s="242"/>
      <c r="Y217" s="243"/>
      <c r="Z217" s="243"/>
      <c r="AA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c r="BZ217" s="243"/>
      <c r="CA217" s="243"/>
      <c r="CB217" s="243"/>
      <c r="CC217" s="243"/>
      <c r="CD217" s="243"/>
      <c r="CE217" s="243"/>
      <c r="CF217" s="243"/>
      <c r="CG217" s="243"/>
      <c r="CH217" s="243"/>
      <c r="CI217" s="243"/>
      <c r="CJ217" s="243"/>
      <c r="CK217" s="243"/>
      <c r="CL217" s="243"/>
      <c r="CM217" s="243"/>
      <c r="CN217" s="243"/>
      <c r="CO217" s="243"/>
      <c r="CP217" s="243"/>
      <c r="CQ217" s="243"/>
      <c r="CR217" s="243"/>
      <c r="CS217" s="243"/>
      <c r="CT217" s="243"/>
      <c r="CU217" s="243"/>
      <c r="CV217" s="243"/>
    </row>
    <row r="218" spans="1:100" ht="15.75">
      <c r="A218" s="273"/>
      <c r="B218" s="274"/>
      <c r="C218" s="164"/>
      <c r="D218" s="164"/>
      <c r="E218" s="164"/>
      <c r="F218" s="164"/>
      <c r="G218" s="164"/>
      <c r="H218" s="164"/>
      <c r="I218" s="164"/>
      <c r="J218" s="164"/>
      <c r="K218" s="164"/>
      <c r="L218" s="164"/>
      <c r="M218" s="164"/>
      <c r="N218" s="164"/>
      <c r="O218" s="164"/>
      <c r="P218" s="164"/>
      <c r="Q218" s="164"/>
      <c r="R218" s="164"/>
      <c r="S218" s="164"/>
      <c r="T218" s="164"/>
      <c r="U218" s="164"/>
      <c r="V218" s="164"/>
      <c r="W218" s="242"/>
      <c r="X218" s="242"/>
      <c r="Y218" s="243"/>
      <c r="Z218" s="243"/>
      <c r="AA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c r="BZ218" s="243"/>
      <c r="CA218" s="243"/>
      <c r="CB218" s="243"/>
      <c r="CC218" s="243"/>
      <c r="CD218" s="243"/>
      <c r="CE218" s="243"/>
      <c r="CF218" s="243"/>
      <c r="CG218" s="243"/>
      <c r="CH218" s="243"/>
      <c r="CI218" s="243"/>
      <c r="CJ218" s="243"/>
      <c r="CK218" s="243"/>
      <c r="CL218" s="243"/>
      <c r="CM218" s="243"/>
      <c r="CN218" s="243"/>
      <c r="CO218" s="243"/>
      <c r="CP218" s="243"/>
      <c r="CQ218" s="243"/>
      <c r="CR218" s="243"/>
      <c r="CS218" s="243"/>
      <c r="CT218" s="243"/>
      <c r="CU218" s="243"/>
      <c r="CV218" s="243"/>
    </row>
    <row r="219" spans="1:100" ht="15.75">
      <c r="A219" s="273"/>
      <c r="B219" s="274"/>
      <c r="C219" s="164"/>
      <c r="D219" s="164"/>
      <c r="E219" s="164"/>
      <c r="F219" s="164"/>
      <c r="G219" s="164"/>
      <c r="H219" s="164"/>
      <c r="I219" s="164"/>
      <c r="J219" s="164"/>
      <c r="K219" s="164"/>
      <c r="L219" s="164"/>
      <c r="M219" s="164"/>
      <c r="N219" s="164"/>
      <c r="O219" s="164"/>
      <c r="P219" s="164"/>
      <c r="Q219" s="164"/>
      <c r="R219" s="164"/>
      <c r="S219" s="164"/>
      <c r="T219" s="164"/>
      <c r="U219" s="164"/>
      <c r="V219" s="164"/>
      <c r="W219" s="242"/>
      <c r="X219" s="242"/>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c r="BZ219" s="243"/>
      <c r="CA219" s="243"/>
      <c r="CB219" s="243"/>
      <c r="CC219" s="243"/>
      <c r="CD219" s="243"/>
      <c r="CE219" s="243"/>
      <c r="CF219" s="243"/>
      <c r="CG219" s="243"/>
      <c r="CH219" s="243"/>
      <c r="CI219" s="243"/>
      <c r="CJ219" s="243"/>
      <c r="CK219" s="243"/>
      <c r="CL219" s="243"/>
      <c r="CM219" s="243"/>
      <c r="CN219" s="243"/>
      <c r="CO219" s="243"/>
      <c r="CP219" s="243"/>
      <c r="CQ219" s="243"/>
      <c r="CR219" s="243"/>
      <c r="CS219" s="243"/>
      <c r="CT219" s="243"/>
      <c r="CU219" s="243"/>
      <c r="CV219" s="243"/>
    </row>
    <row r="220" spans="1:100" ht="15.75">
      <c r="A220" s="273"/>
      <c r="B220" s="274"/>
      <c r="C220" s="164"/>
      <c r="D220" s="164"/>
      <c r="E220" s="164"/>
      <c r="F220" s="164"/>
      <c r="G220" s="164"/>
      <c r="H220" s="164"/>
      <c r="I220" s="164"/>
      <c r="J220" s="164"/>
      <c r="K220" s="164"/>
      <c r="L220" s="164"/>
      <c r="M220" s="164"/>
      <c r="N220" s="164"/>
      <c r="O220" s="164"/>
      <c r="P220" s="164"/>
      <c r="Q220" s="164"/>
      <c r="R220" s="164"/>
      <c r="S220" s="164"/>
      <c r="T220" s="164"/>
      <c r="U220" s="164"/>
      <c r="V220" s="164"/>
      <c r="W220" s="242"/>
      <c r="X220" s="242"/>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c r="BZ220" s="243"/>
      <c r="CA220" s="243"/>
      <c r="CB220" s="243"/>
      <c r="CC220" s="243"/>
      <c r="CD220" s="243"/>
      <c r="CE220" s="243"/>
      <c r="CF220" s="243"/>
      <c r="CG220" s="243"/>
      <c r="CH220" s="243"/>
      <c r="CI220" s="243"/>
      <c r="CJ220" s="243"/>
      <c r="CK220" s="243"/>
      <c r="CL220" s="243"/>
      <c r="CM220" s="243"/>
      <c r="CN220" s="243"/>
      <c r="CO220" s="243"/>
      <c r="CP220" s="243"/>
      <c r="CQ220" s="243"/>
      <c r="CR220" s="243"/>
      <c r="CS220" s="243"/>
      <c r="CT220" s="243"/>
      <c r="CU220" s="243"/>
      <c r="CV220" s="243"/>
    </row>
    <row r="221" spans="1:100" ht="15.75">
      <c r="A221" s="273"/>
      <c r="B221" s="274"/>
      <c r="C221" s="164"/>
      <c r="D221" s="164"/>
      <c r="E221" s="164"/>
      <c r="F221" s="164"/>
      <c r="G221" s="164"/>
      <c r="H221" s="164"/>
      <c r="I221" s="164"/>
      <c r="J221" s="164"/>
      <c r="K221" s="164"/>
      <c r="L221" s="164"/>
      <c r="M221" s="164"/>
      <c r="N221" s="164"/>
      <c r="O221" s="164"/>
      <c r="P221" s="164"/>
      <c r="Q221" s="164"/>
      <c r="R221" s="164"/>
      <c r="S221" s="164"/>
      <c r="T221" s="164"/>
      <c r="U221" s="164"/>
      <c r="V221" s="164"/>
      <c r="W221" s="242"/>
      <c r="X221" s="242"/>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c r="BZ221" s="243"/>
      <c r="CA221" s="243"/>
      <c r="CB221" s="243"/>
      <c r="CC221" s="243"/>
      <c r="CD221" s="243"/>
      <c r="CE221" s="243"/>
      <c r="CF221" s="243"/>
      <c r="CG221" s="243"/>
      <c r="CH221" s="243"/>
      <c r="CI221" s="243"/>
      <c r="CJ221" s="243"/>
      <c r="CK221" s="243"/>
      <c r="CL221" s="243"/>
      <c r="CM221" s="243"/>
      <c r="CN221" s="243"/>
      <c r="CO221" s="243"/>
      <c r="CP221" s="243"/>
      <c r="CQ221" s="243"/>
      <c r="CR221" s="243"/>
      <c r="CS221" s="243"/>
      <c r="CT221" s="243"/>
      <c r="CU221" s="243"/>
      <c r="CV221" s="243"/>
    </row>
    <row r="222" spans="1:100" ht="15.75">
      <c r="A222" s="273"/>
      <c r="B222" s="274"/>
      <c r="C222" s="164"/>
      <c r="D222" s="164"/>
      <c r="E222" s="164"/>
      <c r="F222" s="164"/>
      <c r="G222" s="164"/>
      <c r="H222" s="164"/>
      <c r="I222" s="164"/>
      <c r="J222" s="164"/>
      <c r="K222" s="164"/>
      <c r="L222" s="164"/>
      <c r="M222" s="164"/>
      <c r="N222" s="164"/>
      <c r="O222" s="164"/>
      <c r="P222" s="164"/>
      <c r="Q222" s="164"/>
      <c r="R222" s="164"/>
      <c r="S222" s="164"/>
      <c r="T222" s="164"/>
      <c r="U222" s="164"/>
      <c r="V222" s="164"/>
      <c r="W222" s="242"/>
      <c r="X222" s="242"/>
      <c r="Y222" s="243"/>
      <c r="Z222" s="243"/>
      <c r="AA222" s="243"/>
      <c r="AB222" s="243"/>
      <c r="AC222" s="243"/>
      <c r="AD222" s="243"/>
      <c r="AE222" s="243"/>
      <c r="AF222" s="243"/>
      <c r="AG222" s="243"/>
      <c r="AH222" s="243"/>
      <c r="AI222" s="243"/>
      <c r="AJ222" s="243"/>
      <c r="AK222" s="243"/>
      <c r="AL222" s="243"/>
      <c r="AM222" s="243"/>
      <c r="AN222" s="243"/>
      <c r="AO222" s="243"/>
      <c r="AP222" s="243"/>
      <c r="AQ222" s="243"/>
      <c r="AR222" s="243"/>
      <c r="AS222" s="243"/>
      <c r="AT222" s="243"/>
      <c r="AU222" s="243"/>
      <c r="AV222" s="243"/>
      <c r="AW222" s="243"/>
      <c r="AX222" s="243"/>
      <c r="AY222" s="243"/>
      <c r="AZ222" s="243"/>
      <c r="BA222" s="243"/>
      <c r="BB222" s="243"/>
      <c r="BC222" s="243"/>
      <c r="BD222" s="243"/>
      <c r="BE222" s="243"/>
      <c r="BF222" s="243"/>
      <c r="BG222" s="243"/>
      <c r="BH222" s="243"/>
      <c r="BI222" s="243"/>
      <c r="BJ222" s="243"/>
      <c r="BK222" s="243"/>
      <c r="BL222" s="243"/>
      <c r="BM222" s="243"/>
      <c r="BN222" s="243"/>
      <c r="BO222" s="243"/>
      <c r="BP222" s="243"/>
      <c r="BQ222" s="243"/>
      <c r="BR222" s="243"/>
      <c r="BS222" s="243"/>
      <c r="BT222" s="243"/>
      <c r="BU222" s="243"/>
      <c r="BV222" s="243"/>
      <c r="BW222" s="243"/>
      <c r="BX222" s="243"/>
      <c r="BY222" s="243"/>
      <c r="BZ222" s="243"/>
      <c r="CA222" s="243"/>
      <c r="CB222" s="243"/>
      <c r="CC222" s="243"/>
      <c r="CD222" s="243"/>
      <c r="CE222" s="243"/>
      <c r="CF222" s="243"/>
      <c r="CG222" s="243"/>
      <c r="CH222" s="243"/>
      <c r="CI222" s="243"/>
      <c r="CJ222" s="243"/>
      <c r="CK222" s="243"/>
      <c r="CL222" s="243"/>
      <c r="CM222" s="243"/>
      <c r="CN222" s="243"/>
      <c r="CO222" s="243"/>
      <c r="CP222" s="243"/>
      <c r="CQ222" s="243"/>
      <c r="CR222" s="243"/>
      <c r="CS222" s="243"/>
      <c r="CT222" s="243"/>
      <c r="CU222" s="243"/>
      <c r="CV222" s="243"/>
    </row>
    <row r="223" spans="1:100" ht="15.75">
      <c r="A223" s="273"/>
      <c r="B223" s="274"/>
      <c r="C223" s="164"/>
      <c r="D223" s="164"/>
      <c r="E223" s="164"/>
      <c r="F223" s="164"/>
      <c r="G223" s="164"/>
      <c r="H223" s="164"/>
      <c r="I223" s="164"/>
      <c r="J223" s="164"/>
      <c r="K223" s="164"/>
      <c r="L223" s="164"/>
      <c r="M223" s="164"/>
      <c r="N223" s="164"/>
      <c r="O223" s="164"/>
      <c r="P223" s="164"/>
      <c r="Q223" s="164"/>
      <c r="R223" s="164"/>
      <c r="S223" s="164"/>
      <c r="T223" s="164"/>
      <c r="U223" s="164"/>
      <c r="V223" s="164"/>
      <c r="W223" s="242"/>
      <c r="X223" s="242"/>
      <c r="Y223" s="243"/>
      <c r="Z223" s="243"/>
      <c r="AA223" s="243"/>
      <c r="AB223" s="243"/>
      <c r="AC223" s="243"/>
      <c r="AD223" s="243"/>
      <c r="AE223" s="243"/>
      <c r="AF223" s="243"/>
      <c r="AG223" s="243"/>
      <c r="AH223" s="243"/>
      <c r="AI223" s="243"/>
      <c r="AJ223" s="243"/>
      <c r="AK223" s="243"/>
      <c r="AL223" s="243"/>
      <c r="AM223" s="243"/>
      <c r="AN223" s="243"/>
      <c r="AO223" s="243"/>
      <c r="AP223" s="243"/>
      <c r="AQ223" s="243"/>
      <c r="AR223" s="243"/>
      <c r="AS223" s="243"/>
      <c r="AT223" s="243"/>
      <c r="AU223" s="243"/>
      <c r="AV223" s="243"/>
      <c r="AW223" s="243"/>
      <c r="AX223" s="243"/>
      <c r="AY223" s="243"/>
      <c r="AZ223" s="243"/>
      <c r="BA223" s="243"/>
      <c r="BB223" s="243"/>
      <c r="BC223" s="243"/>
      <c r="BD223" s="243"/>
      <c r="BE223" s="243"/>
      <c r="BF223" s="243"/>
      <c r="BG223" s="243"/>
      <c r="BH223" s="243"/>
      <c r="BI223" s="243"/>
      <c r="BJ223" s="243"/>
      <c r="BK223" s="243"/>
      <c r="BL223" s="243"/>
      <c r="BM223" s="243"/>
      <c r="BN223" s="243"/>
      <c r="BO223" s="243"/>
      <c r="BP223" s="243"/>
      <c r="BQ223" s="243"/>
      <c r="BR223" s="243"/>
      <c r="BS223" s="243"/>
      <c r="BT223" s="243"/>
      <c r="BU223" s="243"/>
      <c r="BV223" s="243"/>
      <c r="BW223" s="243"/>
      <c r="BX223" s="243"/>
      <c r="BY223" s="243"/>
      <c r="BZ223" s="243"/>
      <c r="CA223" s="243"/>
      <c r="CB223" s="243"/>
      <c r="CC223" s="243"/>
      <c r="CD223" s="243"/>
      <c r="CE223" s="243"/>
      <c r="CF223" s="243"/>
      <c r="CG223" s="243"/>
      <c r="CH223" s="243"/>
      <c r="CI223" s="243"/>
      <c r="CJ223" s="243"/>
      <c r="CK223" s="243"/>
      <c r="CL223" s="243"/>
      <c r="CM223" s="243"/>
      <c r="CN223" s="243"/>
      <c r="CO223" s="243"/>
      <c r="CP223" s="243"/>
      <c r="CQ223" s="243"/>
      <c r="CR223" s="243"/>
      <c r="CS223" s="243"/>
      <c r="CT223" s="243"/>
      <c r="CU223" s="243"/>
      <c r="CV223" s="243"/>
    </row>
    <row r="224" spans="1:100" ht="15.75">
      <c r="A224" s="273"/>
      <c r="B224" s="274"/>
      <c r="C224" s="164"/>
      <c r="D224" s="164"/>
      <c r="E224" s="164"/>
      <c r="F224" s="164"/>
      <c r="G224" s="164"/>
      <c r="H224" s="164"/>
      <c r="I224" s="164"/>
      <c r="J224" s="164"/>
      <c r="K224" s="164"/>
      <c r="L224" s="164"/>
      <c r="M224" s="164"/>
      <c r="N224" s="164"/>
      <c r="O224" s="164"/>
      <c r="P224" s="164"/>
      <c r="Q224" s="164"/>
      <c r="R224" s="164"/>
      <c r="S224" s="164"/>
      <c r="T224" s="164"/>
      <c r="U224" s="164"/>
      <c r="V224" s="164"/>
      <c r="W224" s="242"/>
      <c r="X224" s="242"/>
      <c r="Y224" s="243"/>
      <c r="Z224" s="243"/>
      <c r="AA224" s="243"/>
      <c r="AB224" s="243"/>
      <c r="AC224" s="243"/>
      <c r="AD224" s="243"/>
      <c r="AE224" s="243"/>
      <c r="AF224" s="243"/>
      <c r="AG224" s="243"/>
      <c r="AH224" s="243"/>
      <c r="AI224" s="243"/>
      <c r="AJ224" s="243"/>
      <c r="AK224" s="243"/>
      <c r="AL224" s="243"/>
      <c r="AM224" s="243"/>
      <c r="AN224" s="243"/>
      <c r="AO224" s="243"/>
      <c r="AP224" s="243"/>
      <c r="AQ224" s="243"/>
      <c r="AR224" s="243"/>
      <c r="AS224" s="243"/>
      <c r="AT224" s="243"/>
      <c r="AU224" s="243"/>
      <c r="AV224" s="243"/>
      <c r="AW224" s="243"/>
      <c r="AX224" s="243"/>
      <c r="AY224" s="243"/>
      <c r="AZ224" s="243"/>
      <c r="BA224" s="243"/>
      <c r="BB224" s="243"/>
      <c r="BC224" s="243"/>
      <c r="BD224" s="243"/>
      <c r="BE224" s="243"/>
      <c r="BF224" s="243"/>
      <c r="BG224" s="243"/>
      <c r="BH224" s="243"/>
      <c r="BI224" s="243"/>
      <c r="BJ224" s="243"/>
      <c r="BK224" s="243"/>
      <c r="BL224" s="243"/>
      <c r="BM224" s="243"/>
      <c r="BN224" s="243"/>
      <c r="BO224" s="243"/>
      <c r="BP224" s="243"/>
      <c r="BQ224" s="243"/>
      <c r="BR224" s="243"/>
      <c r="BS224" s="243"/>
      <c r="BT224" s="243"/>
      <c r="BU224" s="243"/>
      <c r="BV224" s="243"/>
      <c r="BW224" s="243"/>
      <c r="BX224" s="243"/>
      <c r="BY224" s="243"/>
      <c r="BZ224" s="243"/>
      <c r="CA224" s="243"/>
      <c r="CB224" s="243"/>
      <c r="CC224" s="243"/>
      <c r="CD224" s="243"/>
      <c r="CE224" s="243"/>
      <c r="CF224" s="243"/>
      <c r="CG224" s="243"/>
      <c r="CH224" s="243"/>
      <c r="CI224" s="243"/>
      <c r="CJ224" s="243"/>
      <c r="CK224" s="243"/>
      <c r="CL224" s="243"/>
      <c r="CM224" s="243"/>
      <c r="CN224" s="243"/>
      <c r="CO224" s="243"/>
      <c r="CP224" s="243"/>
      <c r="CQ224" s="243"/>
      <c r="CR224" s="243"/>
      <c r="CS224" s="243"/>
      <c r="CT224" s="243"/>
      <c r="CU224" s="243"/>
      <c r="CV224" s="243"/>
    </row>
    <row r="225" spans="1:100" ht="15.75">
      <c r="A225" s="273"/>
      <c r="B225" s="274"/>
      <c r="C225" s="164"/>
      <c r="D225" s="164"/>
      <c r="E225" s="164"/>
      <c r="F225" s="164"/>
      <c r="G225" s="164"/>
      <c r="H225" s="164"/>
      <c r="I225" s="164"/>
      <c r="J225" s="164"/>
      <c r="K225" s="164"/>
      <c r="L225" s="164"/>
      <c r="M225" s="164"/>
      <c r="N225" s="164"/>
      <c r="O225" s="164"/>
      <c r="P225" s="164"/>
      <c r="Q225" s="164"/>
      <c r="R225" s="164"/>
      <c r="S225" s="164"/>
      <c r="T225" s="164"/>
      <c r="U225" s="164"/>
      <c r="V225" s="164"/>
      <c r="W225" s="242"/>
      <c r="X225" s="242"/>
      <c r="Y225" s="243"/>
      <c r="Z225" s="243"/>
      <c r="AA225" s="243"/>
      <c r="AB225" s="243"/>
      <c r="AC225" s="243"/>
      <c r="AD225" s="243"/>
      <c r="AE225" s="243"/>
      <c r="AF225" s="243"/>
      <c r="AG225" s="243"/>
      <c r="AH225" s="243"/>
      <c r="AI225" s="243"/>
      <c r="AJ225" s="243"/>
      <c r="AK225" s="243"/>
      <c r="AL225" s="243"/>
      <c r="AM225" s="243"/>
      <c r="AN225" s="243"/>
      <c r="AO225" s="243"/>
      <c r="AP225" s="243"/>
      <c r="AQ225" s="243"/>
      <c r="AR225" s="243"/>
      <c r="AS225" s="243"/>
      <c r="AT225" s="243"/>
      <c r="AU225" s="243"/>
      <c r="AV225" s="243"/>
      <c r="AW225" s="243"/>
      <c r="AX225" s="243"/>
      <c r="AY225" s="243"/>
      <c r="AZ225" s="243"/>
      <c r="BA225" s="243"/>
      <c r="BB225" s="243"/>
      <c r="BC225" s="243"/>
      <c r="BD225" s="243"/>
      <c r="BE225" s="243"/>
      <c r="BF225" s="243"/>
      <c r="BG225" s="243"/>
      <c r="BH225" s="243"/>
      <c r="BI225" s="243"/>
      <c r="BJ225" s="243"/>
      <c r="BK225" s="243"/>
      <c r="BL225" s="243"/>
      <c r="BM225" s="243"/>
      <c r="BN225" s="243"/>
      <c r="BO225" s="243"/>
      <c r="BP225" s="243"/>
      <c r="BQ225" s="243"/>
      <c r="BR225" s="243"/>
      <c r="BS225" s="243"/>
      <c r="BT225" s="243"/>
      <c r="BU225" s="243"/>
      <c r="BV225" s="243"/>
      <c r="BW225" s="243"/>
      <c r="BX225" s="243"/>
      <c r="BY225" s="243"/>
      <c r="BZ225" s="243"/>
      <c r="CA225" s="243"/>
      <c r="CB225" s="243"/>
      <c r="CC225" s="243"/>
      <c r="CD225" s="243"/>
      <c r="CE225" s="243"/>
      <c r="CF225" s="243"/>
      <c r="CG225" s="243"/>
      <c r="CH225" s="243"/>
      <c r="CI225" s="243"/>
      <c r="CJ225" s="243"/>
      <c r="CK225" s="243"/>
      <c r="CL225" s="243"/>
      <c r="CM225" s="243"/>
      <c r="CN225" s="243"/>
      <c r="CO225" s="243"/>
      <c r="CP225" s="243"/>
      <c r="CQ225" s="243"/>
      <c r="CR225" s="243"/>
      <c r="CS225" s="243"/>
      <c r="CT225" s="243"/>
      <c r="CU225" s="243"/>
      <c r="CV225" s="243"/>
    </row>
    <row r="226" spans="1:100" ht="15.75">
      <c r="A226" s="273"/>
      <c r="B226" s="274"/>
      <c r="C226" s="164"/>
      <c r="D226" s="164"/>
      <c r="E226" s="164"/>
      <c r="F226" s="164"/>
      <c r="G226" s="164"/>
      <c r="H226" s="164"/>
      <c r="I226" s="164"/>
      <c r="J226" s="164"/>
      <c r="K226" s="164"/>
      <c r="L226" s="164"/>
      <c r="M226" s="164"/>
      <c r="N226" s="164"/>
      <c r="O226" s="164"/>
      <c r="P226" s="164"/>
      <c r="Q226" s="164"/>
      <c r="R226" s="164"/>
      <c r="S226" s="164"/>
      <c r="T226" s="164"/>
      <c r="U226" s="164"/>
      <c r="V226" s="164"/>
      <c r="W226" s="242"/>
      <c r="X226" s="242"/>
      <c r="Y226" s="243"/>
      <c r="Z226" s="243"/>
      <c r="AA226" s="243"/>
      <c r="AB226" s="243"/>
      <c r="AC226" s="243"/>
      <c r="AD226" s="243"/>
      <c r="AE226" s="243"/>
      <c r="AF226" s="243"/>
      <c r="AG226" s="243"/>
      <c r="AH226" s="243"/>
      <c r="AI226" s="243"/>
      <c r="AJ226" s="243"/>
      <c r="AK226" s="243"/>
      <c r="AL226" s="243"/>
      <c r="AM226" s="243"/>
      <c r="AN226" s="243"/>
      <c r="AO226" s="243"/>
      <c r="AP226" s="243"/>
      <c r="AQ226" s="243"/>
      <c r="AR226" s="243"/>
      <c r="AS226" s="243"/>
      <c r="AT226" s="243"/>
      <c r="AU226" s="243"/>
      <c r="AV226" s="243"/>
      <c r="AW226" s="243"/>
      <c r="AX226" s="243"/>
      <c r="AY226" s="243"/>
      <c r="AZ226" s="243"/>
      <c r="BA226" s="243"/>
      <c r="BB226" s="243"/>
      <c r="BC226" s="243"/>
      <c r="BD226" s="243"/>
      <c r="BE226" s="243"/>
      <c r="BF226" s="243"/>
      <c r="BG226" s="243"/>
      <c r="BH226" s="243"/>
      <c r="BI226" s="243"/>
      <c r="BJ226" s="243"/>
      <c r="BK226" s="243"/>
      <c r="BL226" s="243"/>
      <c r="BM226" s="243"/>
      <c r="BN226" s="243"/>
      <c r="BO226" s="243"/>
      <c r="BP226" s="243"/>
      <c r="BQ226" s="243"/>
      <c r="BR226" s="243"/>
      <c r="BS226" s="243"/>
      <c r="BT226" s="243"/>
      <c r="BU226" s="243"/>
      <c r="BV226" s="243"/>
      <c r="BW226" s="243"/>
      <c r="BX226" s="243"/>
      <c r="BY226" s="243"/>
      <c r="BZ226" s="243"/>
      <c r="CA226" s="243"/>
      <c r="CB226" s="243"/>
      <c r="CC226" s="243"/>
      <c r="CD226" s="243"/>
      <c r="CE226" s="243"/>
      <c r="CF226" s="243"/>
      <c r="CG226" s="243"/>
      <c r="CH226" s="243"/>
      <c r="CI226" s="243"/>
      <c r="CJ226" s="243"/>
      <c r="CK226" s="243"/>
      <c r="CL226" s="243"/>
      <c r="CM226" s="243"/>
      <c r="CN226" s="243"/>
      <c r="CO226" s="243"/>
      <c r="CP226" s="243"/>
      <c r="CQ226" s="243"/>
      <c r="CR226" s="243"/>
      <c r="CS226" s="243"/>
      <c r="CT226" s="243"/>
      <c r="CU226" s="243"/>
      <c r="CV226" s="243"/>
    </row>
    <row r="227" spans="1:100" ht="15.75">
      <c r="A227" s="273"/>
      <c r="B227" s="274"/>
      <c r="C227" s="164"/>
      <c r="D227" s="164"/>
      <c r="E227" s="164"/>
      <c r="F227" s="164"/>
      <c r="G227" s="164"/>
      <c r="H227" s="164"/>
      <c r="I227" s="164"/>
      <c r="J227" s="164"/>
      <c r="K227" s="164"/>
      <c r="L227" s="164"/>
      <c r="M227" s="164"/>
      <c r="N227" s="164"/>
      <c r="O227" s="164"/>
      <c r="P227" s="164"/>
      <c r="Q227" s="164"/>
      <c r="R227" s="164"/>
      <c r="S227" s="164"/>
      <c r="T227" s="164"/>
      <c r="U227" s="164"/>
      <c r="V227" s="164"/>
      <c r="W227" s="242"/>
      <c r="X227" s="242"/>
      <c r="Y227" s="243"/>
      <c r="Z227" s="243"/>
      <c r="AA227" s="243"/>
      <c r="AB227" s="243"/>
      <c r="AC227" s="243"/>
      <c r="AD227" s="243"/>
      <c r="AE227" s="243"/>
      <c r="AF227" s="243"/>
      <c r="AG227" s="243"/>
      <c r="AH227" s="243"/>
      <c r="AI227" s="243"/>
      <c r="AJ227" s="243"/>
      <c r="AK227" s="243"/>
      <c r="AL227" s="243"/>
      <c r="AM227" s="243"/>
      <c r="AN227" s="243"/>
      <c r="AO227" s="243"/>
      <c r="AP227" s="243"/>
      <c r="AQ227" s="243"/>
      <c r="AR227" s="243"/>
      <c r="AS227" s="243"/>
      <c r="AT227" s="243"/>
      <c r="AU227" s="243"/>
      <c r="AV227" s="243"/>
      <c r="AW227" s="243"/>
      <c r="AX227" s="243"/>
      <c r="AY227" s="243"/>
      <c r="AZ227" s="243"/>
      <c r="BA227" s="243"/>
      <c r="BB227" s="243"/>
      <c r="BC227" s="243"/>
      <c r="BD227" s="243"/>
      <c r="BE227" s="243"/>
      <c r="BF227" s="243"/>
      <c r="BG227" s="243"/>
      <c r="BH227" s="243"/>
      <c r="BI227" s="243"/>
      <c r="BJ227" s="243"/>
      <c r="BK227" s="243"/>
      <c r="BL227" s="243"/>
      <c r="BM227" s="243"/>
      <c r="BN227" s="243"/>
      <c r="BO227" s="243"/>
      <c r="BP227" s="243"/>
      <c r="BQ227" s="243"/>
      <c r="BR227" s="243"/>
      <c r="BS227" s="243"/>
      <c r="BT227" s="243"/>
      <c r="BU227" s="243"/>
      <c r="BV227" s="243"/>
      <c r="BW227" s="243"/>
      <c r="BX227" s="243"/>
      <c r="BY227" s="243"/>
      <c r="BZ227" s="243"/>
      <c r="CA227" s="243"/>
      <c r="CB227" s="243"/>
      <c r="CC227" s="243"/>
      <c r="CD227" s="243"/>
      <c r="CE227" s="243"/>
      <c r="CF227" s="243"/>
      <c r="CG227" s="243"/>
      <c r="CH227" s="243"/>
      <c r="CI227" s="243"/>
      <c r="CJ227" s="243"/>
      <c r="CK227" s="243"/>
      <c r="CL227" s="243"/>
      <c r="CM227" s="243"/>
      <c r="CN227" s="243"/>
      <c r="CO227" s="243"/>
      <c r="CP227" s="243"/>
      <c r="CQ227" s="243"/>
      <c r="CR227" s="243"/>
      <c r="CS227" s="243"/>
      <c r="CT227" s="243"/>
      <c r="CU227" s="243"/>
      <c r="CV227" s="243"/>
    </row>
    <row r="228" spans="1:100" ht="15.75">
      <c r="A228" s="273"/>
      <c r="B228" s="274"/>
      <c r="C228" s="164"/>
      <c r="D228" s="164"/>
      <c r="E228" s="164"/>
      <c r="F228" s="164"/>
      <c r="G228" s="164"/>
      <c r="H228" s="164"/>
      <c r="I228" s="164"/>
      <c r="J228" s="164"/>
      <c r="K228" s="164"/>
      <c r="L228" s="164"/>
      <c r="M228" s="164"/>
      <c r="N228" s="164"/>
      <c r="O228" s="164"/>
      <c r="P228" s="164"/>
      <c r="Q228" s="164"/>
      <c r="R228" s="164"/>
      <c r="S228" s="164"/>
      <c r="T228" s="164"/>
      <c r="U228" s="164"/>
      <c r="V228" s="164"/>
      <c r="W228" s="242"/>
      <c r="X228" s="242"/>
      <c r="Y228" s="243"/>
      <c r="Z228" s="243"/>
      <c r="AA228" s="243"/>
      <c r="AB228" s="243"/>
      <c r="AC228" s="243"/>
      <c r="AD228" s="243"/>
      <c r="AE228" s="243"/>
      <c r="AF228" s="243"/>
      <c r="AG228" s="243"/>
      <c r="AH228" s="243"/>
      <c r="AI228" s="243"/>
      <c r="AJ228" s="243"/>
      <c r="AK228" s="243"/>
      <c r="AL228" s="243"/>
      <c r="AM228" s="243"/>
      <c r="AN228" s="243"/>
      <c r="AO228" s="243"/>
      <c r="AP228" s="243"/>
      <c r="AQ228" s="243"/>
      <c r="AR228" s="243"/>
      <c r="AS228" s="243"/>
      <c r="AT228" s="243"/>
      <c r="AU228" s="243"/>
      <c r="AV228" s="243"/>
      <c r="AW228" s="243"/>
      <c r="AX228" s="243"/>
      <c r="AY228" s="243"/>
      <c r="AZ228" s="243"/>
      <c r="BA228" s="243"/>
      <c r="BB228" s="243"/>
      <c r="BC228" s="243"/>
      <c r="BD228" s="243"/>
      <c r="BE228" s="243"/>
      <c r="BF228" s="243"/>
      <c r="BG228" s="243"/>
      <c r="BH228" s="243"/>
      <c r="BI228" s="243"/>
      <c r="BJ228" s="243"/>
      <c r="BK228" s="243"/>
      <c r="BL228" s="243"/>
      <c r="BM228" s="243"/>
      <c r="BN228" s="243"/>
      <c r="BO228" s="243"/>
      <c r="BP228" s="243"/>
      <c r="BQ228" s="243"/>
      <c r="BR228" s="243"/>
      <c r="BS228" s="243"/>
      <c r="BT228" s="243"/>
      <c r="BU228" s="243"/>
      <c r="BV228" s="243"/>
      <c r="BW228" s="243"/>
      <c r="BX228" s="243"/>
      <c r="BY228" s="243"/>
      <c r="BZ228" s="243"/>
      <c r="CA228" s="243"/>
      <c r="CB228" s="243"/>
      <c r="CC228" s="243"/>
      <c r="CD228" s="243"/>
      <c r="CE228" s="243"/>
      <c r="CF228" s="243"/>
      <c r="CG228" s="243"/>
      <c r="CH228" s="243"/>
      <c r="CI228" s="243"/>
      <c r="CJ228" s="243"/>
      <c r="CK228" s="243"/>
      <c r="CL228" s="243"/>
      <c r="CM228" s="243"/>
      <c r="CN228" s="243"/>
      <c r="CO228" s="243"/>
      <c r="CP228" s="243"/>
      <c r="CQ228" s="243"/>
      <c r="CR228" s="243"/>
      <c r="CS228" s="243"/>
      <c r="CT228" s="243"/>
      <c r="CU228" s="243"/>
      <c r="CV228" s="243"/>
    </row>
    <row r="229" spans="1:100" ht="15.75">
      <c r="A229" s="273"/>
      <c r="B229" s="274"/>
      <c r="C229" s="164"/>
      <c r="D229" s="164"/>
      <c r="E229" s="164"/>
      <c r="F229" s="164"/>
      <c r="G229" s="164"/>
      <c r="H229" s="164"/>
      <c r="I229" s="164"/>
      <c r="J229" s="164"/>
      <c r="K229" s="164"/>
      <c r="L229" s="164"/>
      <c r="M229" s="164"/>
      <c r="N229" s="164"/>
      <c r="O229" s="164"/>
      <c r="P229" s="164"/>
      <c r="Q229" s="164"/>
      <c r="R229" s="164"/>
      <c r="S229" s="164"/>
      <c r="T229" s="164"/>
      <c r="U229" s="164"/>
      <c r="V229" s="164"/>
      <c r="W229" s="242"/>
      <c r="X229" s="242"/>
      <c r="Y229" s="243"/>
      <c r="Z229" s="243"/>
      <c r="AA229" s="243"/>
      <c r="AB229" s="243"/>
      <c r="AC229" s="243"/>
      <c r="AD229" s="243"/>
      <c r="AE229" s="243"/>
      <c r="AF229" s="243"/>
      <c r="AG229" s="243"/>
      <c r="AH229" s="243"/>
      <c r="AI229" s="243"/>
      <c r="AJ229" s="243"/>
      <c r="AK229" s="243"/>
      <c r="AL229" s="243"/>
      <c r="AM229" s="243"/>
      <c r="AN229" s="243"/>
      <c r="AO229" s="243"/>
      <c r="AP229" s="243"/>
      <c r="AQ229" s="243"/>
      <c r="AR229" s="243"/>
      <c r="AS229" s="243"/>
      <c r="AT229" s="243"/>
      <c r="AU229" s="243"/>
      <c r="AV229" s="243"/>
      <c r="AW229" s="243"/>
      <c r="AX229" s="243"/>
      <c r="AY229" s="243"/>
      <c r="AZ229" s="243"/>
      <c r="BA229" s="243"/>
      <c r="BB229" s="243"/>
      <c r="BC229" s="243"/>
      <c r="BD229" s="243"/>
      <c r="BE229" s="243"/>
      <c r="BF229" s="243"/>
      <c r="BG229" s="243"/>
      <c r="BH229" s="243"/>
      <c r="BI229" s="243"/>
      <c r="BJ229" s="243"/>
      <c r="BK229" s="243"/>
      <c r="BL229" s="243"/>
      <c r="BM229" s="243"/>
      <c r="BN229" s="243"/>
      <c r="BO229" s="243"/>
      <c r="BP229" s="243"/>
      <c r="BQ229" s="243"/>
      <c r="BR229" s="243"/>
      <c r="BS229" s="243"/>
      <c r="BT229" s="243"/>
      <c r="BU229" s="243"/>
      <c r="BV229" s="243"/>
      <c r="BW229" s="243"/>
      <c r="BX229" s="243"/>
      <c r="BY229" s="243"/>
      <c r="BZ229" s="243"/>
      <c r="CA229" s="243"/>
      <c r="CB229" s="243"/>
      <c r="CC229" s="243"/>
      <c r="CD229" s="243"/>
      <c r="CE229" s="243"/>
      <c r="CF229" s="243"/>
      <c r="CG229" s="243"/>
      <c r="CH229" s="243"/>
      <c r="CI229" s="243"/>
      <c r="CJ229" s="243"/>
      <c r="CK229" s="243"/>
      <c r="CL229" s="243"/>
      <c r="CM229" s="243"/>
      <c r="CN229" s="243"/>
      <c r="CO229" s="243"/>
      <c r="CP229" s="243"/>
      <c r="CQ229" s="243"/>
      <c r="CR229" s="243"/>
      <c r="CS229" s="243"/>
      <c r="CT229" s="243"/>
      <c r="CU229" s="243"/>
      <c r="CV229" s="243"/>
    </row>
    <row r="230" spans="1:100" ht="15.75">
      <c r="A230" s="273"/>
      <c r="B230" s="274"/>
      <c r="C230" s="164"/>
      <c r="D230" s="164"/>
      <c r="E230" s="164"/>
      <c r="F230" s="164"/>
      <c r="G230" s="164"/>
      <c r="H230" s="164"/>
      <c r="I230" s="164"/>
      <c r="J230" s="164"/>
      <c r="K230" s="164"/>
      <c r="L230" s="164"/>
      <c r="M230" s="164"/>
      <c r="N230" s="164"/>
      <c r="O230" s="164"/>
      <c r="P230" s="164"/>
      <c r="Q230" s="164"/>
      <c r="R230" s="164"/>
      <c r="S230" s="164"/>
      <c r="T230" s="164"/>
      <c r="U230" s="164"/>
      <c r="V230" s="164"/>
      <c r="W230" s="242"/>
      <c r="X230" s="242"/>
      <c r="Y230" s="243"/>
      <c r="Z230" s="243"/>
      <c r="AA230" s="243"/>
      <c r="AB230" s="243"/>
      <c r="AC230" s="243"/>
      <c r="AD230" s="243"/>
      <c r="AE230" s="243"/>
      <c r="AF230" s="243"/>
      <c r="AG230" s="243"/>
      <c r="AH230" s="243"/>
      <c r="AI230" s="243"/>
      <c r="AJ230" s="243"/>
      <c r="AK230" s="243"/>
      <c r="AL230" s="243"/>
      <c r="AM230" s="243"/>
      <c r="AN230" s="243"/>
      <c r="AO230" s="243"/>
      <c r="AP230" s="243"/>
      <c r="AQ230" s="243"/>
      <c r="AR230" s="243"/>
      <c r="AS230" s="243"/>
      <c r="AT230" s="243"/>
      <c r="AU230" s="243"/>
      <c r="AV230" s="243"/>
      <c r="AW230" s="243"/>
      <c r="AX230" s="243"/>
      <c r="AY230" s="243"/>
      <c r="AZ230" s="243"/>
      <c r="BA230" s="243"/>
      <c r="BB230" s="243"/>
      <c r="BC230" s="243"/>
      <c r="BD230" s="243"/>
      <c r="BE230" s="243"/>
      <c r="BF230" s="243"/>
      <c r="BG230" s="243"/>
      <c r="BH230" s="243"/>
      <c r="BI230" s="243"/>
      <c r="BJ230" s="243"/>
      <c r="BK230" s="243"/>
      <c r="BL230" s="243"/>
      <c r="BM230" s="243"/>
      <c r="BN230" s="243"/>
      <c r="BO230" s="243"/>
      <c r="BP230" s="243"/>
      <c r="BQ230" s="243"/>
      <c r="BR230" s="243"/>
      <c r="BS230" s="243"/>
      <c r="BT230" s="243"/>
      <c r="BU230" s="243"/>
      <c r="BV230" s="243"/>
      <c r="BW230" s="243"/>
      <c r="BX230" s="243"/>
      <c r="BY230" s="243"/>
      <c r="BZ230" s="243"/>
      <c r="CA230" s="243"/>
      <c r="CB230" s="243"/>
      <c r="CC230" s="243"/>
      <c r="CD230" s="243"/>
      <c r="CE230" s="243"/>
      <c r="CF230" s="243"/>
      <c r="CG230" s="243"/>
      <c r="CH230" s="243"/>
      <c r="CI230" s="243"/>
      <c r="CJ230" s="243"/>
      <c r="CK230" s="243"/>
      <c r="CL230" s="243"/>
      <c r="CM230" s="243"/>
      <c r="CN230" s="243"/>
      <c r="CO230" s="243"/>
      <c r="CP230" s="243"/>
      <c r="CQ230" s="243"/>
      <c r="CR230" s="243"/>
      <c r="CS230" s="243"/>
      <c r="CT230" s="243"/>
      <c r="CU230" s="243"/>
      <c r="CV230" s="243"/>
    </row>
    <row r="231" spans="1:100" ht="15.75">
      <c r="A231" s="273"/>
      <c r="B231" s="274"/>
      <c r="C231" s="164"/>
      <c r="D231" s="164"/>
      <c r="E231" s="164"/>
      <c r="F231" s="164"/>
      <c r="G231" s="164"/>
      <c r="H231" s="164"/>
      <c r="I231" s="164"/>
      <c r="J231" s="164"/>
      <c r="K231" s="164"/>
      <c r="L231" s="164"/>
      <c r="M231" s="164"/>
      <c r="N231" s="164"/>
      <c r="O231" s="164"/>
      <c r="P231" s="164"/>
      <c r="Q231" s="164"/>
      <c r="R231" s="164"/>
      <c r="S231" s="164"/>
      <c r="T231" s="164"/>
      <c r="U231" s="164"/>
      <c r="V231" s="164"/>
      <c r="W231" s="242"/>
      <c r="X231" s="242"/>
      <c r="Y231" s="243"/>
      <c r="Z231" s="243"/>
      <c r="AA231" s="243"/>
      <c r="AB231" s="243"/>
      <c r="AC231" s="243"/>
      <c r="AD231" s="243"/>
      <c r="AE231" s="243"/>
      <c r="AF231" s="243"/>
      <c r="AG231" s="243"/>
      <c r="AH231" s="243"/>
      <c r="AI231" s="243"/>
      <c r="AJ231" s="243"/>
      <c r="AK231" s="243"/>
      <c r="AL231" s="243"/>
      <c r="AM231" s="243"/>
      <c r="AN231" s="243"/>
      <c r="AO231" s="243"/>
      <c r="AP231" s="243"/>
      <c r="AQ231" s="243"/>
      <c r="AR231" s="243"/>
      <c r="AS231" s="243"/>
      <c r="AT231" s="243"/>
      <c r="AU231" s="243"/>
      <c r="AV231" s="243"/>
      <c r="AW231" s="243"/>
      <c r="AX231" s="243"/>
      <c r="AY231" s="243"/>
      <c r="AZ231" s="243"/>
      <c r="BA231" s="243"/>
      <c r="BB231" s="243"/>
      <c r="BC231" s="243"/>
      <c r="BD231" s="243"/>
      <c r="BE231" s="243"/>
      <c r="BF231" s="243"/>
      <c r="BG231" s="243"/>
      <c r="BH231" s="243"/>
      <c r="BI231" s="243"/>
      <c r="BJ231" s="243"/>
      <c r="BK231" s="243"/>
      <c r="BL231" s="243"/>
      <c r="BM231" s="243"/>
      <c r="BN231" s="243"/>
      <c r="BO231" s="243"/>
      <c r="BP231" s="243"/>
      <c r="BQ231" s="243"/>
      <c r="BR231" s="243"/>
      <c r="BS231" s="243"/>
      <c r="BT231" s="243"/>
      <c r="BU231" s="243"/>
      <c r="BV231" s="243"/>
      <c r="BW231" s="243"/>
      <c r="BX231" s="243"/>
      <c r="BY231" s="243"/>
      <c r="BZ231" s="243"/>
      <c r="CA231" s="243"/>
      <c r="CB231" s="243"/>
      <c r="CC231" s="243"/>
      <c r="CD231" s="243"/>
      <c r="CE231" s="243"/>
      <c r="CF231" s="243"/>
      <c r="CG231" s="243"/>
      <c r="CH231" s="243"/>
      <c r="CI231" s="243"/>
      <c r="CJ231" s="243"/>
      <c r="CK231" s="243"/>
      <c r="CL231" s="243"/>
      <c r="CM231" s="243"/>
      <c r="CN231" s="243"/>
      <c r="CO231" s="243"/>
      <c r="CP231" s="243"/>
      <c r="CQ231" s="243"/>
      <c r="CR231" s="243"/>
      <c r="CS231" s="243"/>
      <c r="CT231" s="243"/>
      <c r="CU231" s="243"/>
      <c r="CV231" s="243"/>
    </row>
    <row r="232" spans="1:100" ht="15.75">
      <c r="A232" s="273"/>
      <c r="B232" s="274"/>
      <c r="C232" s="164"/>
      <c r="D232" s="164"/>
      <c r="E232" s="164"/>
      <c r="F232" s="164"/>
      <c r="G232" s="164"/>
      <c r="H232" s="164"/>
      <c r="I232" s="164"/>
      <c r="J232" s="164"/>
      <c r="K232" s="164"/>
      <c r="L232" s="164"/>
      <c r="M232" s="164"/>
      <c r="N232" s="164"/>
      <c r="O232" s="164"/>
      <c r="P232" s="164"/>
      <c r="Q232" s="164"/>
      <c r="R232" s="164"/>
      <c r="S232" s="164"/>
      <c r="T232" s="164"/>
      <c r="U232" s="164"/>
      <c r="V232" s="164"/>
      <c r="W232" s="242"/>
      <c r="X232" s="242"/>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3"/>
      <c r="AY232" s="243"/>
      <c r="AZ232" s="243"/>
      <c r="BA232" s="243"/>
      <c r="BB232" s="243"/>
      <c r="BC232" s="243"/>
      <c r="BD232" s="243"/>
      <c r="BE232" s="243"/>
      <c r="BF232" s="243"/>
      <c r="BG232" s="243"/>
      <c r="BH232" s="243"/>
      <c r="BI232" s="243"/>
      <c r="BJ232" s="243"/>
      <c r="BK232" s="243"/>
      <c r="BL232" s="243"/>
      <c r="BM232" s="243"/>
      <c r="BN232" s="243"/>
      <c r="BO232" s="243"/>
      <c r="BP232" s="243"/>
      <c r="BQ232" s="243"/>
      <c r="BR232" s="243"/>
      <c r="BS232" s="243"/>
      <c r="BT232" s="243"/>
      <c r="BU232" s="243"/>
      <c r="BV232" s="243"/>
      <c r="BW232" s="243"/>
      <c r="BX232" s="243"/>
      <c r="BY232" s="243"/>
      <c r="BZ232" s="243"/>
      <c r="CA232" s="243"/>
      <c r="CB232" s="243"/>
      <c r="CC232" s="243"/>
      <c r="CD232" s="243"/>
      <c r="CE232" s="243"/>
      <c r="CF232" s="243"/>
      <c r="CG232" s="243"/>
      <c r="CH232" s="243"/>
      <c r="CI232" s="243"/>
      <c r="CJ232" s="243"/>
      <c r="CK232" s="243"/>
      <c r="CL232" s="243"/>
      <c r="CM232" s="243"/>
      <c r="CN232" s="243"/>
      <c r="CO232" s="243"/>
      <c r="CP232" s="243"/>
      <c r="CQ232" s="243"/>
      <c r="CR232" s="243"/>
      <c r="CS232" s="243"/>
      <c r="CT232" s="243"/>
      <c r="CU232" s="243"/>
      <c r="CV232" s="243"/>
    </row>
    <row r="233" spans="1:100" ht="15.75">
      <c r="A233" s="273"/>
      <c r="B233" s="274"/>
      <c r="C233" s="164"/>
      <c r="D233" s="164"/>
      <c r="E233" s="164"/>
      <c r="F233" s="164"/>
      <c r="G233" s="164"/>
      <c r="H233" s="164"/>
      <c r="I233" s="164"/>
      <c r="J233" s="164"/>
      <c r="K233" s="164"/>
      <c r="L233" s="164"/>
      <c r="M233" s="164"/>
      <c r="N233" s="164"/>
      <c r="O233" s="164"/>
      <c r="P233" s="164"/>
      <c r="Q233" s="164"/>
      <c r="R233" s="164"/>
      <c r="S233" s="164"/>
      <c r="T233" s="164"/>
      <c r="U233" s="164"/>
      <c r="V233" s="164"/>
      <c r="W233" s="242"/>
      <c r="X233" s="242"/>
      <c r="Y233" s="243"/>
      <c r="Z233" s="243"/>
      <c r="AA233" s="243"/>
      <c r="AB233" s="243"/>
      <c r="AC233" s="243"/>
      <c r="AD233" s="243"/>
      <c r="AE233" s="243"/>
      <c r="AF233" s="243"/>
      <c r="AG233" s="243"/>
      <c r="AH233" s="243"/>
      <c r="AI233" s="243"/>
      <c r="AJ233" s="243"/>
      <c r="AK233" s="243"/>
      <c r="AL233" s="243"/>
      <c r="AM233" s="243"/>
      <c r="AN233" s="243"/>
      <c r="AO233" s="243"/>
      <c r="AP233" s="243"/>
      <c r="AQ233" s="243"/>
      <c r="AR233" s="243"/>
      <c r="AS233" s="243"/>
      <c r="AT233" s="243"/>
      <c r="AU233" s="243"/>
      <c r="AV233" s="243"/>
      <c r="AW233" s="243"/>
      <c r="AX233" s="243"/>
      <c r="AY233" s="243"/>
      <c r="AZ233" s="243"/>
      <c r="BA233" s="243"/>
      <c r="BB233" s="243"/>
      <c r="BC233" s="243"/>
      <c r="BD233" s="243"/>
      <c r="BE233" s="243"/>
      <c r="BF233" s="243"/>
      <c r="BG233" s="243"/>
      <c r="BH233" s="243"/>
      <c r="BI233" s="243"/>
      <c r="BJ233" s="243"/>
      <c r="BK233" s="243"/>
      <c r="BL233" s="243"/>
      <c r="BM233" s="243"/>
      <c r="BN233" s="243"/>
      <c r="BO233" s="243"/>
      <c r="BP233" s="243"/>
      <c r="BQ233" s="243"/>
      <c r="BR233" s="243"/>
      <c r="BS233" s="243"/>
      <c r="BT233" s="243"/>
      <c r="BU233" s="243"/>
      <c r="BV233" s="243"/>
      <c r="BW233" s="243"/>
      <c r="BX233" s="243"/>
      <c r="BY233" s="243"/>
      <c r="BZ233" s="243"/>
      <c r="CA233" s="243"/>
      <c r="CB233" s="243"/>
      <c r="CC233" s="243"/>
      <c r="CD233" s="243"/>
      <c r="CE233" s="243"/>
      <c r="CF233" s="243"/>
      <c r="CG233" s="243"/>
      <c r="CH233" s="243"/>
      <c r="CI233" s="243"/>
      <c r="CJ233" s="243"/>
      <c r="CK233" s="243"/>
      <c r="CL233" s="243"/>
      <c r="CM233" s="243"/>
      <c r="CN233" s="243"/>
      <c r="CO233" s="243"/>
      <c r="CP233" s="243"/>
      <c r="CQ233" s="243"/>
      <c r="CR233" s="243"/>
      <c r="CS233" s="243"/>
      <c r="CT233" s="243"/>
      <c r="CU233" s="243"/>
      <c r="CV233" s="243"/>
    </row>
    <row r="234" spans="1:100" ht="15.75">
      <c r="A234" s="273"/>
      <c r="B234" s="274"/>
      <c r="C234" s="164"/>
      <c r="D234" s="164"/>
      <c r="E234" s="164"/>
      <c r="F234" s="164"/>
      <c r="G234" s="164"/>
      <c r="H234" s="164"/>
      <c r="I234" s="164"/>
      <c r="J234" s="164"/>
      <c r="K234" s="164"/>
      <c r="L234" s="164"/>
      <c r="M234" s="164"/>
      <c r="N234" s="164"/>
      <c r="O234" s="164"/>
      <c r="P234" s="164"/>
      <c r="Q234" s="164"/>
      <c r="R234" s="164"/>
      <c r="S234" s="164"/>
      <c r="T234" s="164"/>
      <c r="U234" s="164"/>
      <c r="V234" s="164"/>
      <c r="W234" s="242"/>
      <c r="X234" s="242"/>
      <c r="Y234" s="243"/>
      <c r="Z234" s="243"/>
      <c r="AA234" s="243"/>
      <c r="AB234" s="243"/>
      <c r="AC234" s="243"/>
      <c r="AD234" s="243"/>
      <c r="AE234" s="243"/>
      <c r="AF234" s="243"/>
      <c r="AG234" s="243"/>
      <c r="AH234" s="243"/>
      <c r="AI234" s="243"/>
      <c r="AJ234" s="243"/>
      <c r="AK234" s="243"/>
      <c r="AL234" s="243"/>
      <c r="AM234" s="243"/>
      <c r="AN234" s="243"/>
      <c r="AO234" s="243"/>
      <c r="AP234" s="243"/>
      <c r="AQ234" s="243"/>
      <c r="AR234" s="243"/>
      <c r="AS234" s="243"/>
      <c r="AT234" s="243"/>
      <c r="AU234" s="243"/>
      <c r="AV234" s="243"/>
      <c r="AW234" s="243"/>
      <c r="AX234" s="243"/>
      <c r="AY234" s="243"/>
      <c r="AZ234" s="243"/>
      <c r="BA234" s="243"/>
      <c r="BB234" s="243"/>
      <c r="BC234" s="243"/>
      <c r="BD234" s="243"/>
      <c r="BE234" s="243"/>
      <c r="BF234" s="243"/>
      <c r="BG234" s="243"/>
      <c r="BH234" s="243"/>
      <c r="BI234" s="243"/>
      <c r="BJ234" s="243"/>
      <c r="BK234" s="243"/>
      <c r="BL234" s="243"/>
      <c r="BM234" s="243"/>
      <c r="BN234" s="243"/>
      <c r="BO234" s="243"/>
      <c r="BP234" s="243"/>
      <c r="BQ234" s="243"/>
      <c r="BR234" s="243"/>
      <c r="BS234" s="243"/>
      <c r="BT234" s="243"/>
      <c r="BU234" s="243"/>
      <c r="BV234" s="243"/>
      <c r="BW234" s="243"/>
      <c r="BX234" s="243"/>
      <c r="BY234" s="243"/>
      <c r="BZ234" s="243"/>
      <c r="CA234" s="243"/>
      <c r="CB234" s="243"/>
      <c r="CC234" s="243"/>
      <c r="CD234" s="243"/>
      <c r="CE234" s="243"/>
      <c r="CF234" s="243"/>
      <c r="CG234" s="243"/>
      <c r="CH234" s="243"/>
      <c r="CI234" s="243"/>
      <c r="CJ234" s="243"/>
      <c r="CK234" s="243"/>
      <c r="CL234" s="243"/>
      <c r="CM234" s="243"/>
      <c r="CN234" s="243"/>
      <c r="CO234" s="243"/>
      <c r="CP234" s="243"/>
      <c r="CQ234" s="243"/>
      <c r="CR234" s="243"/>
      <c r="CS234" s="243"/>
      <c r="CT234" s="243"/>
      <c r="CU234" s="243"/>
      <c r="CV234" s="243"/>
    </row>
    <row r="235" spans="1:100" ht="15.75">
      <c r="A235" s="273"/>
      <c r="B235" s="274"/>
      <c r="C235" s="164"/>
      <c r="D235" s="164"/>
      <c r="E235" s="164"/>
      <c r="F235" s="164"/>
      <c r="G235" s="164"/>
      <c r="H235" s="164"/>
      <c r="I235" s="164"/>
      <c r="J235" s="164"/>
      <c r="K235" s="164"/>
      <c r="L235" s="164"/>
      <c r="M235" s="164"/>
      <c r="N235" s="164"/>
      <c r="O235" s="164"/>
      <c r="P235" s="164"/>
      <c r="Q235" s="164"/>
      <c r="R235" s="164"/>
      <c r="S235" s="164"/>
      <c r="T235" s="164"/>
      <c r="U235" s="164"/>
      <c r="V235" s="164"/>
      <c r="W235" s="242"/>
      <c r="X235" s="242"/>
      <c r="Y235" s="243"/>
      <c r="Z235" s="243"/>
      <c r="AA235" s="243"/>
      <c r="AB235" s="243"/>
      <c r="AC235" s="243"/>
      <c r="AD235" s="243"/>
      <c r="AE235" s="243"/>
      <c r="AF235" s="243"/>
      <c r="AG235" s="243"/>
      <c r="AH235" s="243"/>
      <c r="AI235" s="243"/>
      <c r="AJ235" s="243"/>
      <c r="AK235" s="243"/>
      <c r="AL235" s="243"/>
      <c r="AM235" s="243"/>
      <c r="AN235" s="243"/>
      <c r="AO235" s="243"/>
      <c r="AP235" s="243"/>
      <c r="AQ235" s="243"/>
      <c r="AR235" s="243"/>
      <c r="AS235" s="243"/>
      <c r="AT235" s="243"/>
      <c r="AU235" s="243"/>
      <c r="AV235" s="243"/>
      <c r="AW235" s="243"/>
      <c r="AX235" s="243"/>
      <c r="AY235" s="243"/>
      <c r="AZ235" s="243"/>
      <c r="BA235" s="243"/>
      <c r="BB235" s="243"/>
      <c r="BC235" s="243"/>
      <c r="BD235" s="243"/>
      <c r="BE235" s="243"/>
      <c r="BF235" s="243"/>
      <c r="BG235" s="243"/>
      <c r="BH235" s="243"/>
      <c r="BI235" s="243"/>
      <c r="BJ235" s="243"/>
      <c r="BK235" s="243"/>
      <c r="BL235" s="243"/>
      <c r="BM235" s="243"/>
      <c r="BN235" s="243"/>
      <c r="BO235" s="243"/>
      <c r="BP235" s="243"/>
      <c r="BQ235" s="243"/>
      <c r="BR235" s="243"/>
      <c r="BS235" s="243"/>
      <c r="BT235" s="243"/>
      <c r="BU235" s="243"/>
      <c r="BV235" s="243"/>
      <c r="BW235" s="243"/>
      <c r="BX235" s="243"/>
      <c r="BY235" s="243"/>
      <c r="BZ235" s="243"/>
      <c r="CA235" s="243"/>
      <c r="CB235" s="243"/>
      <c r="CC235" s="243"/>
      <c r="CD235" s="243"/>
      <c r="CE235" s="243"/>
      <c r="CF235" s="243"/>
      <c r="CG235" s="243"/>
      <c r="CH235" s="243"/>
      <c r="CI235" s="243"/>
      <c r="CJ235" s="243"/>
      <c r="CK235" s="243"/>
      <c r="CL235" s="243"/>
      <c r="CM235" s="243"/>
      <c r="CN235" s="243"/>
      <c r="CO235" s="243"/>
      <c r="CP235" s="243"/>
      <c r="CQ235" s="243"/>
      <c r="CR235" s="243"/>
      <c r="CS235" s="243"/>
      <c r="CT235" s="243"/>
      <c r="CU235" s="243"/>
      <c r="CV235" s="243"/>
    </row>
    <row r="236" spans="1:100" ht="15.75">
      <c r="A236" s="273"/>
      <c r="B236" s="274"/>
      <c r="C236" s="164"/>
      <c r="D236" s="164"/>
      <c r="E236" s="164"/>
      <c r="F236" s="164"/>
      <c r="G236" s="164"/>
      <c r="H236" s="164"/>
      <c r="I236" s="164"/>
      <c r="J236" s="164"/>
      <c r="K236" s="164"/>
      <c r="L236" s="164"/>
      <c r="M236" s="164"/>
      <c r="N236" s="164"/>
      <c r="O236" s="164"/>
      <c r="P236" s="164"/>
      <c r="Q236" s="164"/>
      <c r="R236" s="164"/>
      <c r="S236" s="164"/>
      <c r="T236" s="164"/>
      <c r="U236" s="164"/>
      <c r="V236" s="164"/>
      <c r="W236" s="242"/>
      <c r="X236" s="242"/>
      <c r="Y236" s="243"/>
      <c r="Z236" s="243"/>
      <c r="AA236" s="243"/>
      <c r="AB236" s="243"/>
      <c r="AC236" s="243"/>
      <c r="AD236" s="243"/>
      <c r="AE236" s="243"/>
      <c r="AF236" s="243"/>
      <c r="AG236" s="243"/>
      <c r="AH236" s="243"/>
      <c r="AI236" s="243"/>
      <c r="AJ236" s="243"/>
      <c r="AK236" s="243"/>
      <c r="AL236" s="243"/>
      <c r="AM236" s="243"/>
      <c r="AN236" s="243"/>
      <c r="AO236" s="243"/>
      <c r="AP236" s="243"/>
      <c r="AQ236" s="243"/>
      <c r="AR236" s="243"/>
      <c r="AS236" s="243"/>
      <c r="AT236" s="243"/>
      <c r="AU236" s="243"/>
      <c r="AV236" s="243"/>
      <c r="AW236" s="243"/>
      <c r="AX236" s="243"/>
      <c r="AY236" s="243"/>
      <c r="AZ236" s="243"/>
      <c r="BA236" s="243"/>
      <c r="BB236" s="243"/>
      <c r="BC236" s="243"/>
      <c r="BD236" s="243"/>
      <c r="BE236" s="243"/>
      <c r="BF236" s="243"/>
      <c r="BG236" s="243"/>
      <c r="BH236" s="243"/>
      <c r="BI236" s="243"/>
      <c r="BJ236" s="243"/>
      <c r="BK236" s="243"/>
      <c r="BL236" s="243"/>
      <c r="BM236" s="243"/>
      <c r="BN236" s="243"/>
      <c r="BO236" s="243"/>
      <c r="BP236" s="243"/>
      <c r="BQ236" s="243"/>
      <c r="BR236" s="243"/>
      <c r="BS236" s="243"/>
      <c r="BT236" s="243"/>
      <c r="BU236" s="243"/>
      <c r="BV236" s="243"/>
      <c r="BW236" s="243"/>
      <c r="BX236" s="243"/>
      <c r="BY236" s="243"/>
      <c r="BZ236" s="243"/>
      <c r="CA236" s="243"/>
      <c r="CB236" s="243"/>
      <c r="CC236" s="243"/>
      <c r="CD236" s="243"/>
      <c r="CE236" s="243"/>
      <c r="CF236" s="243"/>
      <c r="CG236" s="243"/>
      <c r="CH236" s="243"/>
      <c r="CI236" s="243"/>
      <c r="CJ236" s="243"/>
      <c r="CK236" s="243"/>
      <c r="CL236" s="243"/>
      <c r="CM236" s="243"/>
      <c r="CN236" s="243"/>
      <c r="CO236" s="243"/>
      <c r="CP236" s="243"/>
      <c r="CQ236" s="243"/>
      <c r="CR236" s="243"/>
      <c r="CS236" s="243"/>
      <c r="CT236" s="243"/>
      <c r="CU236" s="243"/>
      <c r="CV236" s="243"/>
    </row>
    <row r="237" spans="1:100" ht="15.75">
      <c r="A237" s="273"/>
      <c r="B237" s="274"/>
      <c r="C237" s="164"/>
      <c r="D237" s="164"/>
      <c r="E237" s="164"/>
      <c r="F237" s="164"/>
      <c r="G237" s="164"/>
      <c r="H237" s="164"/>
      <c r="I237" s="164"/>
      <c r="J237" s="164"/>
      <c r="K237" s="164"/>
      <c r="L237" s="164"/>
      <c r="M237" s="164"/>
      <c r="N237" s="164"/>
      <c r="O237" s="164"/>
      <c r="P237" s="164"/>
      <c r="Q237" s="164"/>
      <c r="R237" s="164"/>
      <c r="S237" s="164"/>
      <c r="T237" s="164"/>
      <c r="U237" s="164"/>
      <c r="V237" s="164"/>
      <c r="W237" s="242"/>
      <c r="X237" s="242"/>
      <c r="Y237" s="243"/>
      <c r="Z237" s="243"/>
      <c r="AA237" s="243"/>
      <c r="AB237" s="243"/>
      <c r="AC237" s="243"/>
      <c r="AD237" s="243"/>
      <c r="AE237" s="243"/>
      <c r="AF237" s="243"/>
      <c r="AG237" s="243"/>
      <c r="AH237" s="243"/>
      <c r="AI237" s="243"/>
      <c r="AJ237" s="243"/>
      <c r="AK237" s="243"/>
      <c r="AL237" s="243"/>
      <c r="AM237" s="243"/>
      <c r="AN237" s="243"/>
      <c r="AO237" s="243"/>
      <c r="AP237" s="243"/>
      <c r="AQ237" s="243"/>
      <c r="AR237" s="243"/>
      <c r="AS237" s="243"/>
      <c r="AT237" s="243"/>
      <c r="AU237" s="243"/>
      <c r="AV237" s="243"/>
      <c r="AW237" s="243"/>
      <c r="AX237" s="243"/>
      <c r="AY237" s="243"/>
      <c r="AZ237" s="243"/>
      <c r="BA237" s="243"/>
      <c r="BB237" s="243"/>
      <c r="BC237" s="243"/>
      <c r="BD237" s="243"/>
      <c r="BE237" s="243"/>
      <c r="BF237" s="243"/>
      <c r="BG237" s="243"/>
      <c r="BH237" s="243"/>
      <c r="BI237" s="243"/>
      <c r="BJ237" s="243"/>
      <c r="BK237" s="243"/>
      <c r="BL237" s="243"/>
      <c r="BM237" s="243"/>
      <c r="BN237" s="243"/>
      <c r="BO237" s="243"/>
      <c r="BP237" s="243"/>
      <c r="BQ237" s="243"/>
      <c r="BR237" s="243"/>
      <c r="BS237" s="243"/>
      <c r="BT237" s="243"/>
      <c r="BU237" s="243"/>
      <c r="BV237" s="243"/>
      <c r="BW237" s="243"/>
      <c r="BX237" s="243"/>
      <c r="BY237" s="243"/>
      <c r="BZ237" s="243"/>
      <c r="CA237" s="243"/>
      <c r="CB237" s="243"/>
      <c r="CC237" s="243"/>
      <c r="CD237" s="243"/>
      <c r="CE237" s="243"/>
      <c r="CF237" s="243"/>
      <c r="CG237" s="243"/>
      <c r="CH237" s="243"/>
      <c r="CI237" s="243"/>
      <c r="CJ237" s="243"/>
      <c r="CK237" s="243"/>
      <c r="CL237" s="243"/>
      <c r="CM237" s="243"/>
      <c r="CN237" s="243"/>
      <c r="CO237" s="243"/>
      <c r="CP237" s="243"/>
      <c r="CQ237" s="243"/>
      <c r="CR237" s="243"/>
      <c r="CS237" s="243"/>
      <c r="CT237" s="243"/>
      <c r="CU237" s="243"/>
      <c r="CV237" s="243"/>
    </row>
    <row r="238" spans="1:100" ht="15.75">
      <c r="A238" s="273"/>
      <c r="B238" s="274"/>
      <c r="C238" s="164"/>
      <c r="D238" s="164"/>
      <c r="E238" s="164"/>
      <c r="F238" s="164"/>
      <c r="G238" s="164"/>
      <c r="H238" s="164"/>
      <c r="I238" s="164"/>
      <c r="J238" s="164"/>
      <c r="K238" s="164"/>
      <c r="L238" s="164"/>
      <c r="M238" s="164"/>
      <c r="N238" s="164"/>
      <c r="O238" s="164"/>
      <c r="P238" s="164"/>
      <c r="Q238" s="164"/>
      <c r="R238" s="164"/>
      <c r="S238" s="164"/>
      <c r="T238" s="164"/>
      <c r="U238" s="164"/>
      <c r="V238" s="164"/>
      <c r="W238" s="242"/>
      <c r="X238" s="242"/>
      <c r="Y238" s="243"/>
      <c r="Z238" s="243"/>
      <c r="AA238" s="243"/>
      <c r="AB238" s="243"/>
      <c r="AC238" s="243"/>
      <c r="AD238" s="243"/>
      <c r="AE238" s="243"/>
      <c r="AF238" s="243"/>
      <c r="AG238" s="243"/>
      <c r="AH238" s="243"/>
      <c r="AI238" s="243"/>
      <c r="AJ238" s="243"/>
      <c r="AK238" s="243"/>
      <c r="AL238" s="243"/>
      <c r="AM238" s="243"/>
      <c r="AN238" s="243"/>
      <c r="AO238" s="243"/>
      <c r="AP238" s="243"/>
      <c r="AQ238" s="243"/>
      <c r="AR238" s="243"/>
      <c r="AS238" s="243"/>
      <c r="AT238" s="243"/>
      <c r="AU238" s="243"/>
      <c r="AV238" s="243"/>
      <c r="AW238" s="243"/>
      <c r="AX238" s="243"/>
      <c r="AY238" s="243"/>
      <c r="AZ238" s="243"/>
      <c r="BA238" s="243"/>
      <c r="BB238" s="243"/>
      <c r="BC238" s="243"/>
      <c r="BD238" s="243"/>
      <c r="BE238" s="243"/>
      <c r="BF238" s="243"/>
      <c r="BG238" s="243"/>
      <c r="BH238" s="243"/>
      <c r="BI238" s="243"/>
      <c r="BJ238" s="243"/>
      <c r="BK238" s="243"/>
      <c r="BL238" s="243"/>
      <c r="BM238" s="243"/>
      <c r="BN238" s="243"/>
      <c r="BO238" s="243"/>
      <c r="BP238" s="243"/>
      <c r="BQ238" s="243"/>
      <c r="BR238" s="243"/>
      <c r="BS238" s="243"/>
      <c r="BT238" s="243"/>
      <c r="BU238" s="243"/>
      <c r="BV238" s="243"/>
      <c r="BW238" s="243"/>
      <c r="BX238" s="243"/>
      <c r="BY238" s="243"/>
      <c r="BZ238" s="243"/>
      <c r="CA238" s="243"/>
      <c r="CB238" s="243"/>
      <c r="CC238" s="243"/>
      <c r="CD238" s="243"/>
      <c r="CE238" s="243"/>
      <c r="CF238" s="243"/>
      <c r="CG238" s="243"/>
      <c r="CH238" s="243"/>
      <c r="CI238" s="243"/>
      <c r="CJ238" s="243"/>
      <c r="CK238" s="243"/>
      <c r="CL238" s="243"/>
      <c r="CM238" s="243"/>
      <c r="CN238" s="243"/>
      <c r="CO238" s="243"/>
      <c r="CP238" s="243"/>
      <c r="CQ238" s="243"/>
      <c r="CR238" s="243"/>
      <c r="CS238" s="243"/>
      <c r="CT238" s="243"/>
      <c r="CU238" s="243"/>
      <c r="CV238" s="243"/>
    </row>
    <row r="239" spans="1:100" ht="15.75">
      <c r="A239" s="273"/>
      <c r="B239" s="274"/>
      <c r="C239" s="164"/>
      <c r="D239" s="164"/>
      <c r="E239" s="164"/>
      <c r="F239" s="164"/>
      <c r="G239" s="164"/>
      <c r="H239" s="164"/>
      <c r="I239" s="164"/>
      <c r="J239" s="164"/>
      <c r="K239" s="164"/>
      <c r="L239" s="164"/>
      <c r="M239" s="164"/>
      <c r="N239" s="164"/>
      <c r="O239" s="164"/>
      <c r="P239" s="164"/>
      <c r="Q239" s="164"/>
      <c r="R239" s="164"/>
      <c r="S239" s="164"/>
      <c r="T239" s="164"/>
      <c r="U239" s="164"/>
      <c r="V239" s="164"/>
      <c r="W239" s="242"/>
      <c r="X239" s="242"/>
      <c r="Y239" s="243"/>
      <c r="Z239" s="243"/>
      <c r="AA239" s="243"/>
      <c r="AB239" s="243"/>
      <c r="AC239" s="243"/>
      <c r="AD239" s="243"/>
      <c r="AE239" s="243"/>
      <c r="AF239" s="243"/>
      <c r="AG239" s="243"/>
      <c r="AH239" s="243"/>
      <c r="AI239" s="243"/>
      <c r="AJ239" s="243"/>
      <c r="AK239" s="243"/>
      <c r="AL239" s="243"/>
      <c r="AM239" s="243"/>
      <c r="AN239" s="243"/>
      <c r="AO239" s="243"/>
      <c r="AP239" s="243"/>
      <c r="AQ239" s="243"/>
      <c r="AR239" s="243"/>
      <c r="AS239" s="243"/>
      <c r="AT239" s="243"/>
      <c r="AU239" s="243"/>
      <c r="AV239" s="243"/>
      <c r="AW239" s="243"/>
      <c r="AX239" s="243"/>
      <c r="AY239" s="243"/>
      <c r="AZ239" s="243"/>
      <c r="BA239" s="243"/>
      <c r="BB239" s="243"/>
      <c r="BC239" s="243"/>
      <c r="BD239" s="243"/>
      <c r="BE239" s="243"/>
      <c r="BF239" s="243"/>
      <c r="BG239" s="243"/>
      <c r="BH239" s="243"/>
      <c r="BI239" s="243"/>
      <c r="BJ239" s="243"/>
      <c r="BK239" s="243"/>
      <c r="BL239" s="243"/>
      <c r="BM239" s="243"/>
      <c r="BN239" s="243"/>
      <c r="BO239" s="243"/>
      <c r="BP239" s="243"/>
      <c r="BQ239" s="243"/>
      <c r="BR239" s="243"/>
      <c r="BS239" s="243"/>
      <c r="BT239" s="243"/>
      <c r="BU239" s="243"/>
      <c r="BV239" s="243"/>
      <c r="BW239" s="243"/>
      <c r="BX239" s="243"/>
      <c r="BY239" s="243"/>
      <c r="BZ239" s="243"/>
      <c r="CA239" s="243"/>
      <c r="CB239" s="243"/>
      <c r="CC239" s="243"/>
      <c r="CD239" s="243"/>
      <c r="CE239" s="243"/>
      <c r="CF239" s="243"/>
      <c r="CG239" s="243"/>
      <c r="CH239" s="243"/>
      <c r="CI239" s="243"/>
      <c r="CJ239" s="243"/>
      <c r="CK239" s="243"/>
      <c r="CL239" s="243"/>
      <c r="CM239" s="243"/>
      <c r="CN239" s="243"/>
      <c r="CO239" s="243"/>
      <c r="CP239" s="243"/>
      <c r="CQ239" s="243"/>
      <c r="CR239" s="243"/>
      <c r="CS239" s="243"/>
      <c r="CT239" s="243"/>
      <c r="CU239" s="243"/>
      <c r="CV239" s="243"/>
    </row>
    <row r="240" spans="1:24" ht="15.75">
      <c r="A240" s="273"/>
      <c r="B240" s="274"/>
      <c r="C240" s="164"/>
      <c r="D240" s="164"/>
      <c r="E240" s="164"/>
      <c r="F240" s="164"/>
      <c r="G240" s="164"/>
      <c r="H240" s="164"/>
      <c r="I240" s="164"/>
      <c r="J240" s="164"/>
      <c r="K240" s="164"/>
      <c r="L240" s="164"/>
      <c r="M240" s="164"/>
      <c r="N240" s="164"/>
      <c r="O240" s="164"/>
      <c r="P240" s="164"/>
      <c r="Q240" s="164"/>
      <c r="R240" s="164"/>
      <c r="S240" s="164"/>
      <c r="T240" s="164"/>
      <c r="U240" s="164"/>
      <c r="V240" s="164"/>
      <c r="W240" s="242"/>
      <c r="X240" s="242"/>
    </row>
    <row r="241" spans="1:24" ht="15.75">
      <c r="A241" s="273"/>
      <c r="B241" s="274"/>
      <c r="C241" s="164"/>
      <c r="D241" s="164"/>
      <c r="E241" s="164"/>
      <c r="F241" s="164"/>
      <c r="G241" s="164"/>
      <c r="H241" s="164"/>
      <c r="I241" s="164"/>
      <c r="J241" s="164"/>
      <c r="K241" s="164"/>
      <c r="L241" s="164"/>
      <c r="M241" s="164"/>
      <c r="N241" s="164"/>
      <c r="O241" s="164"/>
      <c r="P241" s="164"/>
      <c r="Q241" s="164"/>
      <c r="R241" s="164"/>
      <c r="S241" s="164"/>
      <c r="T241" s="164"/>
      <c r="U241" s="164"/>
      <c r="V241" s="164"/>
      <c r="W241" s="242"/>
      <c r="X241" s="242"/>
    </row>
    <row r="242" spans="1:24" ht="15.75">
      <c r="A242" s="273"/>
      <c r="B242" s="274"/>
      <c r="C242" s="164"/>
      <c r="D242" s="164"/>
      <c r="E242" s="164"/>
      <c r="F242" s="164"/>
      <c r="G242" s="164"/>
      <c r="H242" s="164"/>
      <c r="I242" s="164"/>
      <c r="J242" s="164"/>
      <c r="K242" s="164"/>
      <c r="L242" s="164"/>
      <c r="M242" s="164"/>
      <c r="N242" s="164"/>
      <c r="O242" s="164"/>
      <c r="P242" s="164"/>
      <c r="Q242" s="164"/>
      <c r="R242" s="164"/>
      <c r="S242" s="164"/>
      <c r="T242" s="164"/>
      <c r="U242" s="164"/>
      <c r="V242" s="164"/>
      <c r="W242" s="242"/>
      <c r="X242" s="242"/>
    </row>
    <row r="243" spans="1:24" ht="15.75">
      <c r="A243" s="273"/>
      <c r="B243" s="274"/>
      <c r="C243" s="164"/>
      <c r="D243" s="164"/>
      <c r="E243" s="164"/>
      <c r="F243" s="164"/>
      <c r="G243" s="164"/>
      <c r="H243" s="164"/>
      <c r="I243" s="164"/>
      <c r="J243" s="164"/>
      <c r="K243" s="164"/>
      <c r="L243" s="164"/>
      <c r="M243" s="164"/>
      <c r="N243" s="164"/>
      <c r="O243" s="164"/>
      <c r="P243" s="164"/>
      <c r="Q243" s="164"/>
      <c r="R243" s="164"/>
      <c r="S243" s="164"/>
      <c r="T243" s="164"/>
      <c r="U243" s="164"/>
      <c r="V243" s="164"/>
      <c r="W243" s="242"/>
      <c r="X243" s="242"/>
    </row>
    <row r="244" spans="1:24" ht="15.75">
      <c r="A244" s="273"/>
      <c r="B244" s="274"/>
      <c r="C244" s="164"/>
      <c r="D244" s="164"/>
      <c r="E244" s="164"/>
      <c r="F244" s="164"/>
      <c r="G244" s="164"/>
      <c r="H244" s="164"/>
      <c r="I244" s="164"/>
      <c r="J244" s="164"/>
      <c r="K244" s="164"/>
      <c r="L244" s="164"/>
      <c r="M244" s="164"/>
      <c r="N244" s="164"/>
      <c r="O244" s="164"/>
      <c r="P244" s="164"/>
      <c r="Q244" s="164"/>
      <c r="R244" s="164"/>
      <c r="S244" s="164"/>
      <c r="T244" s="164"/>
      <c r="U244" s="164"/>
      <c r="V244" s="164"/>
      <c r="W244" s="242"/>
      <c r="X244" s="242"/>
    </row>
    <row r="245" spans="1:24" ht="15.75">
      <c r="A245" s="273"/>
      <c r="B245" s="274"/>
      <c r="C245" s="164"/>
      <c r="D245" s="164"/>
      <c r="E245" s="164"/>
      <c r="F245" s="164"/>
      <c r="G245" s="164"/>
      <c r="H245" s="164"/>
      <c r="I245" s="164"/>
      <c r="J245" s="164"/>
      <c r="K245" s="164"/>
      <c r="L245" s="164"/>
      <c r="M245" s="164"/>
      <c r="N245" s="164"/>
      <c r="O245" s="164"/>
      <c r="P245" s="164"/>
      <c r="Q245" s="164"/>
      <c r="R245" s="164"/>
      <c r="S245" s="164"/>
      <c r="T245" s="164"/>
      <c r="U245" s="164"/>
      <c r="V245" s="164"/>
      <c r="W245" s="242"/>
      <c r="X245" s="242"/>
    </row>
    <row r="246" spans="1:24" ht="15.75">
      <c r="A246" s="273"/>
      <c r="B246" s="274"/>
      <c r="C246" s="164"/>
      <c r="D246" s="164"/>
      <c r="E246" s="164"/>
      <c r="F246" s="164"/>
      <c r="G246" s="164"/>
      <c r="H246" s="164"/>
      <c r="I246" s="164"/>
      <c r="J246" s="164"/>
      <c r="K246" s="164"/>
      <c r="L246" s="164"/>
      <c r="M246" s="164"/>
      <c r="N246" s="164"/>
      <c r="O246" s="164"/>
      <c r="P246" s="164"/>
      <c r="Q246" s="164"/>
      <c r="R246" s="164"/>
      <c r="S246" s="164"/>
      <c r="T246" s="164"/>
      <c r="U246" s="164"/>
      <c r="V246" s="164"/>
      <c r="W246" s="242"/>
      <c r="X246" s="242"/>
    </row>
    <row r="247" spans="1:24" ht="15.75">
      <c r="A247" s="273"/>
      <c r="B247" s="274"/>
      <c r="C247" s="164"/>
      <c r="D247" s="164"/>
      <c r="E247" s="164"/>
      <c r="F247" s="164"/>
      <c r="G247" s="164"/>
      <c r="H247" s="164"/>
      <c r="I247" s="164"/>
      <c r="J247" s="164"/>
      <c r="K247" s="164"/>
      <c r="L247" s="164"/>
      <c r="M247" s="164"/>
      <c r="N247" s="164"/>
      <c r="O247" s="164"/>
      <c r="P247" s="164"/>
      <c r="Q247" s="164"/>
      <c r="R247" s="164"/>
      <c r="S247" s="164"/>
      <c r="T247" s="164"/>
      <c r="U247" s="164"/>
      <c r="V247" s="164"/>
      <c r="W247" s="242"/>
      <c r="X247" s="242"/>
    </row>
    <row r="248" spans="1:24" ht="15.75">
      <c r="A248" s="273"/>
      <c r="B248" s="274"/>
      <c r="C248" s="164"/>
      <c r="D248" s="164"/>
      <c r="E248" s="164"/>
      <c r="F248" s="164"/>
      <c r="G248" s="164"/>
      <c r="H248" s="164"/>
      <c r="I248" s="164"/>
      <c r="J248" s="164"/>
      <c r="K248" s="164"/>
      <c r="L248" s="164"/>
      <c r="M248" s="164"/>
      <c r="N248" s="164"/>
      <c r="O248" s="164"/>
      <c r="P248" s="164"/>
      <c r="Q248" s="164"/>
      <c r="R248" s="164"/>
      <c r="S248" s="164"/>
      <c r="T248" s="164"/>
      <c r="U248" s="164"/>
      <c r="V248" s="164"/>
      <c r="W248" s="242"/>
      <c r="X248" s="242"/>
    </row>
    <row r="249" spans="1:24" ht="15.75">
      <c r="A249" s="273"/>
      <c r="B249" s="274"/>
      <c r="C249" s="164"/>
      <c r="D249" s="164"/>
      <c r="E249" s="164"/>
      <c r="F249" s="164"/>
      <c r="G249" s="164"/>
      <c r="H249" s="164"/>
      <c r="I249" s="164"/>
      <c r="J249" s="164"/>
      <c r="K249" s="164"/>
      <c r="L249" s="164"/>
      <c r="M249" s="164"/>
      <c r="N249" s="164"/>
      <c r="O249" s="164"/>
      <c r="P249" s="164"/>
      <c r="Q249" s="164"/>
      <c r="R249" s="164"/>
      <c r="S249" s="164"/>
      <c r="T249" s="164"/>
      <c r="U249" s="164"/>
      <c r="V249" s="164"/>
      <c r="W249" s="242"/>
      <c r="X249" s="242"/>
    </row>
    <row r="250" spans="1:24" ht="15.75">
      <c r="A250" s="273"/>
      <c r="B250" s="274"/>
      <c r="C250" s="164"/>
      <c r="D250" s="164"/>
      <c r="E250" s="164"/>
      <c r="F250" s="164"/>
      <c r="G250" s="164"/>
      <c r="H250" s="164"/>
      <c r="I250" s="164"/>
      <c r="J250" s="164"/>
      <c r="K250" s="164"/>
      <c r="L250" s="164"/>
      <c r="M250" s="164"/>
      <c r="N250" s="164"/>
      <c r="O250" s="164"/>
      <c r="P250" s="164"/>
      <c r="Q250" s="164"/>
      <c r="R250" s="164"/>
      <c r="S250" s="164"/>
      <c r="T250" s="164"/>
      <c r="U250" s="164"/>
      <c r="V250" s="164"/>
      <c r="W250" s="242"/>
      <c r="X250" s="242"/>
    </row>
    <row r="251" spans="1:24" ht="15.75">
      <c r="A251" s="273"/>
      <c r="B251" s="274"/>
      <c r="C251" s="164"/>
      <c r="D251" s="164"/>
      <c r="E251" s="164"/>
      <c r="F251" s="164"/>
      <c r="G251" s="164"/>
      <c r="H251" s="164"/>
      <c r="I251" s="164"/>
      <c r="J251" s="164"/>
      <c r="K251" s="164"/>
      <c r="L251" s="164"/>
      <c r="M251" s="164"/>
      <c r="N251" s="164"/>
      <c r="O251" s="164"/>
      <c r="P251" s="164"/>
      <c r="Q251" s="164"/>
      <c r="R251" s="164"/>
      <c r="S251" s="164"/>
      <c r="T251" s="164"/>
      <c r="U251" s="164"/>
      <c r="V251" s="164"/>
      <c r="W251" s="242"/>
      <c r="X251" s="242"/>
    </row>
    <row r="252" spans="1:24" ht="15.75">
      <c r="A252" s="273"/>
      <c r="B252" s="274"/>
      <c r="C252" s="164"/>
      <c r="D252" s="164"/>
      <c r="E252" s="164"/>
      <c r="F252" s="164"/>
      <c r="G252" s="164"/>
      <c r="H252" s="164"/>
      <c r="I252" s="164"/>
      <c r="J252" s="164"/>
      <c r="K252" s="164"/>
      <c r="L252" s="164"/>
      <c r="M252" s="164"/>
      <c r="N252" s="164"/>
      <c r="O252" s="164"/>
      <c r="P252" s="164"/>
      <c r="Q252" s="164"/>
      <c r="R252" s="164"/>
      <c r="S252" s="164"/>
      <c r="T252" s="164"/>
      <c r="U252" s="164"/>
      <c r="V252" s="164"/>
      <c r="W252" s="242"/>
      <c r="X252" s="242"/>
    </row>
    <row r="253" spans="1:24" ht="15.75">
      <c r="A253" s="273"/>
      <c r="B253" s="274"/>
      <c r="C253" s="164"/>
      <c r="D253" s="164"/>
      <c r="E253" s="164"/>
      <c r="F253" s="164"/>
      <c r="G253" s="164"/>
      <c r="H253" s="164"/>
      <c r="I253" s="164"/>
      <c r="J253" s="164"/>
      <c r="K253" s="164"/>
      <c r="L253" s="164"/>
      <c r="M253" s="164"/>
      <c r="N253" s="164"/>
      <c r="O253" s="164"/>
      <c r="P253" s="164"/>
      <c r="Q253" s="164"/>
      <c r="R253" s="164"/>
      <c r="S253" s="164"/>
      <c r="T253" s="164"/>
      <c r="U253" s="164"/>
      <c r="V253" s="164"/>
      <c r="W253" s="242"/>
      <c r="X253" s="242"/>
    </row>
    <row r="254" spans="1:24" ht="15.75">
      <c r="A254" s="273"/>
      <c r="B254" s="274"/>
      <c r="C254" s="164"/>
      <c r="D254" s="164"/>
      <c r="E254" s="164"/>
      <c r="F254" s="164"/>
      <c r="G254" s="164"/>
      <c r="H254" s="164"/>
      <c r="I254" s="164"/>
      <c r="J254" s="164"/>
      <c r="K254" s="164"/>
      <c r="L254" s="164"/>
      <c r="M254" s="164"/>
      <c r="N254" s="164"/>
      <c r="O254" s="164"/>
      <c r="P254" s="164"/>
      <c r="Q254" s="164"/>
      <c r="R254" s="164"/>
      <c r="S254" s="164"/>
      <c r="T254" s="164"/>
      <c r="U254" s="164"/>
      <c r="V254" s="164"/>
      <c r="W254" s="242"/>
      <c r="X254" s="242"/>
    </row>
    <row r="255" spans="1:24" ht="15.75">
      <c r="A255" s="273"/>
      <c r="B255" s="274"/>
      <c r="C255" s="164"/>
      <c r="D255" s="164"/>
      <c r="E255" s="164"/>
      <c r="F255" s="164"/>
      <c r="G255" s="164"/>
      <c r="H255" s="164"/>
      <c r="I255" s="164"/>
      <c r="J255" s="164"/>
      <c r="K255" s="164"/>
      <c r="L255" s="164"/>
      <c r="M255" s="164"/>
      <c r="N255" s="164"/>
      <c r="O255" s="164"/>
      <c r="P255" s="164"/>
      <c r="Q255" s="164"/>
      <c r="R255" s="164"/>
      <c r="S255" s="164"/>
      <c r="T255" s="164"/>
      <c r="U255" s="164"/>
      <c r="V255" s="164"/>
      <c r="W255" s="242"/>
      <c r="X255" s="242"/>
    </row>
    <row r="256" spans="1:24" ht="15.75">
      <c r="A256" s="273"/>
      <c r="B256" s="274"/>
      <c r="C256" s="164"/>
      <c r="D256" s="164"/>
      <c r="E256" s="164"/>
      <c r="F256" s="164"/>
      <c r="G256" s="164"/>
      <c r="H256" s="164"/>
      <c r="I256" s="164"/>
      <c r="J256" s="164"/>
      <c r="K256" s="164"/>
      <c r="L256" s="164"/>
      <c r="M256" s="164"/>
      <c r="N256" s="164"/>
      <c r="O256" s="164"/>
      <c r="P256" s="164"/>
      <c r="Q256" s="164"/>
      <c r="R256" s="164"/>
      <c r="S256" s="164"/>
      <c r="T256" s="164"/>
      <c r="U256" s="164"/>
      <c r="V256" s="164"/>
      <c r="W256" s="242"/>
      <c r="X256" s="242"/>
    </row>
    <row r="257" spans="1:24" ht="15.75">
      <c r="A257" s="273"/>
      <c r="B257" s="274"/>
      <c r="C257" s="164"/>
      <c r="D257" s="164"/>
      <c r="E257" s="164"/>
      <c r="F257" s="164"/>
      <c r="G257" s="164"/>
      <c r="H257" s="164"/>
      <c r="I257" s="164"/>
      <c r="J257" s="164"/>
      <c r="K257" s="164"/>
      <c r="L257" s="164"/>
      <c r="M257" s="164"/>
      <c r="N257" s="164"/>
      <c r="O257" s="164"/>
      <c r="P257" s="164"/>
      <c r="Q257" s="164"/>
      <c r="R257" s="164"/>
      <c r="S257" s="164"/>
      <c r="T257" s="164"/>
      <c r="U257" s="164"/>
      <c r="V257" s="164"/>
      <c r="W257" s="242"/>
      <c r="X257" s="242"/>
    </row>
    <row r="258" spans="1:24" ht="15.75">
      <c r="A258" s="273"/>
      <c r="B258" s="274"/>
      <c r="C258" s="164"/>
      <c r="D258" s="164"/>
      <c r="E258" s="164"/>
      <c r="F258" s="164"/>
      <c r="G258" s="164"/>
      <c r="H258" s="164"/>
      <c r="I258" s="164"/>
      <c r="J258" s="164"/>
      <c r="K258" s="164"/>
      <c r="L258" s="164"/>
      <c r="M258" s="164"/>
      <c r="N258" s="164"/>
      <c r="O258" s="164"/>
      <c r="P258" s="164"/>
      <c r="Q258" s="164"/>
      <c r="R258" s="164"/>
      <c r="S258" s="164"/>
      <c r="T258" s="164"/>
      <c r="U258" s="164"/>
      <c r="V258" s="164"/>
      <c r="W258" s="242"/>
      <c r="X258" s="242"/>
    </row>
    <row r="259" spans="1:24" ht="15.75">
      <c r="A259" s="273"/>
      <c r="B259" s="274"/>
      <c r="C259" s="164"/>
      <c r="D259" s="164"/>
      <c r="E259" s="164"/>
      <c r="F259" s="164"/>
      <c r="G259" s="164"/>
      <c r="H259" s="164"/>
      <c r="I259" s="164"/>
      <c r="J259" s="164"/>
      <c r="K259" s="164"/>
      <c r="L259" s="164"/>
      <c r="M259" s="164"/>
      <c r="N259" s="164"/>
      <c r="O259" s="164"/>
      <c r="P259" s="164"/>
      <c r="Q259" s="164"/>
      <c r="R259" s="164"/>
      <c r="S259" s="164"/>
      <c r="T259" s="164"/>
      <c r="U259" s="164"/>
      <c r="V259" s="164"/>
      <c r="W259" s="242"/>
      <c r="X259" s="242"/>
    </row>
    <row r="260" spans="1:24" ht="15.75">
      <c r="A260" s="273"/>
      <c r="B260" s="274"/>
      <c r="C260" s="164"/>
      <c r="D260" s="164"/>
      <c r="E260" s="164"/>
      <c r="F260" s="164"/>
      <c r="G260" s="164"/>
      <c r="H260" s="164"/>
      <c r="I260" s="164"/>
      <c r="J260" s="164"/>
      <c r="K260" s="164"/>
      <c r="L260" s="164"/>
      <c r="M260" s="164"/>
      <c r="N260" s="164"/>
      <c r="O260" s="164"/>
      <c r="P260" s="164"/>
      <c r="Q260" s="164"/>
      <c r="R260" s="164"/>
      <c r="S260" s="164"/>
      <c r="T260" s="164"/>
      <c r="U260" s="164"/>
      <c r="V260" s="164"/>
      <c r="W260" s="242"/>
      <c r="X260" s="242"/>
    </row>
    <row r="261" spans="1:24" ht="15.75">
      <c r="A261" s="273"/>
      <c r="B261" s="274"/>
      <c r="C261" s="164"/>
      <c r="D261" s="164"/>
      <c r="E261" s="164"/>
      <c r="F261" s="164"/>
      <c r="G261" s="164"/>
      <c r="H261" s="164"/>
      <c r="I261" s="164"/>
      <c r="J261" s="164"/>
      <c r="K261" s="164"/>
      <c r="L261" s="164"/>
      <c r="M261" s="164"/>
      <c r="N261" s="164"/>
      <c r="O261" s="164"/>
      <c r="P261" s="164"/>
      <c r="Q261" s="164"/>
      <c r="R261" s="164"/>
      <c r="S261" s="164"/>
      <c r="T261" s="164"/>
      <c r="U261" s="164"/>
      <c r="V261" s="164"/>
      <c r="W261" s="242"/>
      <c r="X261" s="242"/>
    </row>
    <row r="262" spans="1:24" ht="15.75">
      <c r="A262" s="273"/>
      <c r="B262" s="274"/>
      <c r="C262" s="164"/>
      <c r="D262" s="164"/>
      <c r="E262" s="164"/>
      <c r="F262" s="164"/>
      <c r="G262" s="164"/>
      <c r="H262" s="164"/>
      <c r="I262" s="164"/>
      <c r="J262" s="164"/>
      <c r="K262" s="164"/>
      <c r="L262" s="164"/>
      <c r="M262" s="164"/>
      <c r="N262" s="164"/>
      <c r="O262" s="164"/>
      <c r="P262" s="164"/>
      <c r="Q262" s="164"/>
      <c r="R262" s="164"/>
      <c r="S262" s="164"/>
      <c r="T262" s="164"/>
      <c r="U262" s="164"/>
      <c r="V262" s="164"/>
      <c r="W262" s="242"/>
      <c r="X262" s="242"/>
    </row>
    <row r="263" spans="1:24" ht="15.75">
      <c r="A263" s="273"/>
      <c r="B263" s="274"/>
      <c r="C263" s="164"/>
      <c r="D263" s="164"/>
      <c r="E263" s="164"/>
      <c r="F263" s="164"/>
      <c r="G263" s="164"/>
      <c r="H263" s="164"/>
      <c r="I263" s="164"/>
      <c r="J263" s="164"/>
      <c r="K263" s="164"/>
      <c r="L263" s="164"/>
      <c r="M263" s="164"/>
      <c r="N263" s="164"/>
      <c r="O263" s="164"/>
      <c r="P263" s="164"/>
      <c r="Q263" s="164"/>
      <c r="R263" s="164"/>
      <c r="S263" s="164"/>
      <c r="T263" s="164"/>
      <c r="U263" s="164"/>
      <c r="V263" s="164"/>
      <c r="W263" s="242"/>
      <c r="X263" s="242"/>
    </row>
    <row r="264" spans="1:24" ht="15.75">
      <c r="A264" s="273"/>
      <c r="B264" s="274"/>
      <c r="C264" s="164"/>
      <c r="D264" s="164"/>
      <c r="E264" s="164"/>
      <c r="F264" s="164"/>
      <c r="G264" s="164"/>
      <c r="H264" s="164"/>
      <c r="I264" s="164"/>
      <c r="J264" s="164"/>
      <c r="K264" s="164"/>
      <c r="L264" s="164"/>
      <c r="M264" s="164"/>
      <c r="N264" s="164"/>
      <c r="O264" s="164"/>
      <c r="P264" s="164"/>
      <c r="Q264" s="164"/>
      <c r="R264" s="164"/>
      <c r="S264" s="164"/>
      <c r="T264" s="164"/>
      <c r="U264" s="164"/>
      <c r="V264" s="164"/>
      <c r="W264" s="242"/>
      <c r="X264" s="242"/>
    </row>
    <row r="265" spans="1:24" ht="15.75">
      <c r="A265" s="273"/>
      <c r="B265" s="274"/>
      <c r="C265" s="164"/>
      <c r="D265" s="164"/>
      <c r="E265" s="164"/>
      <c r="F265" s="164"/>
      <c r="G265" s="164"/>
      <c r="H265" s="164"/>
      <c r="I265" s="164"/>
      <c r="J265" s="164"/>
      <c r="K265" s="164"/>
      <c r="L265" s="164"/>
      <c r="M265" s="164"/>
      <c r="N265" s="164"/>
      <c r="O265" s="164"/>
      <c r="P265" s="164"/>
      <c r="Q265" s="164"/>
      <c r="R265" s="164"/>
      <c r="S265" s="164"/>
      <c r="T265" s="164"/>
      <c r="U265" s="164"/>
      <c r="V265" s="164"/>
      <c r="W265" s="242"/>
      <c r="X265" s="242"/>
    </row>
    <row r="266" spans="1:24" ht="15.75">
      <c r="A266" s="273"/>
      <c r="B266" s="274"/>
      <c r="C266" s="164"/>
      <c r="D266" s="164"/>
      <c r="E266" s="164"/>
      <c r="F266" s="164"/>
      <c r="G266" s="164"/>
      <c r="H266" s="164"/>
      <c r="I266" s="164"/>
      <c r="J266" s="164"/>
      <c r="K266" s="164"/>
      <c r="L266" s="164"/>
      <c r="M266" s="164"/>
      <c r="N266" s="164"/>
      <c r="O266" s="164"/>
      <c r="P266" s="164"/>
      <c r="Q266" s="164"/>
      <c r="R266" s="164"/>
      <c r="S266" s="164"/>
      <c r="T266" s="164"/>
      <c r="U266" s="164"/>
      <c r="V266" s="164"/>
      <c r="W266" s="242"/>
      <c r="X266" s="242"/>
    </row>
    <row r="267" spans="1:24" ht="15.75">
      <c r="A267" s="273"/>
      <c r="B267" s="274"/>
      <c r="C267" s="164"/>
      <c r="D267" s="164"/>
      <c r="E267" s="164"/>
      <c r="F267" s="164"/>
      <c r="G267" s="164"/>
      <c r="H267" s="164"/>
      <c r="I267" s="164"/>
      <c r="J267" s="164"/>
      <c r="K267" s="164"/>
      <c r="L267" s="164"/>
      <c r="M267" s="164"/>
      <c r="N267" s="164"/>
      <c r="O267" s="164"/>
      <c r="P267" s="164"/>
      <c r="Q267" s="164"/>
      <c r="R267" s="164"/>
      <c r="S267" s="164"/>
      <c r="T267" s="164"/>
      <c r="U267" s="164"/>
      <c r="V267" s="164"/>
      <c r="W267" s="242"/>
      <c r="X267" s="242"/>
    </row>
    <row r="268" spans="1:24" ht="15.75">
      <c r="A268" s="273"/>
      <c r="B268" s="274"/>
      <c r="C268" s="164"/>
      <c r="D268" s="164"/>
      <c r="E268" s="164"/>
      <c r="F268" s="164"/>
      <c r="G268" s="164"/>
      <c r="H268" s="164"/>
      <c r="I268" s="164"/>
      <c r="J268" s="164"/>
      <c r="K268" s="164"/>
      <c r="L268" s="164"/>
      <c r="M268" s="164"/>
      <c r="N268" s="164"/>
      <c r="O268" s="164"/>
      <c r="P268" s="164"/>
      <c r="Q268" s="164"/>
      <c r="R268" s="164"/>
      <c r="S268" s="164"/>
      <c r="T268" s="164"/>
      <c r="U268" s="164"/>
      <c r="V268" s="164"/>
      <c r="W268" s="242"/>
      <c r="X268" s="242"/>
    </row>
    <row r="269" spans="1:24" ht="15.75">
      <c r="A269" s="273"/>
      <c r="B269" s="274"/>
      <c r="C269" s="164"/>
      <c r="D269" s="164"/>
      <c r="E269" s="164"/>
      <c r="F269" s="164"/>
      <c r="G269" s="164"/>
      <c r="H269" s="164"/>
      <c r="I269" s="164"/>
      <c r="J269" s="164"/>
      <c r="K269" s="164"/>
      <c r="L269" s="164"/>
      <c r="M269" s="164"/>
      <c r="N269" s="164"/>
      <c r="O269" s="164"/>
      <c r="P269" s="164"/>
      <c r="Q269" s="164"/>
      <c r="R269" s="164"/>
      <c r="S269" s="164"/>
      <c r="T269" s="164"/>
      <c r="U269" s="164"/>
      <c r="V269" s="164"/>
      <c r="W269" s="242"/>
      <c r="X269" s="242"/>
    </row>
    <row r="270" spans="1:24" ht="15.75">
      <c r="A270" s="273"/>
      <c r="B270" s="274"/>
      <c r="C270" s="164"/>
      <c r="D270" s="164"/>
      <c r="E270" s="164"/>
      <c r="F270" s="164"/>
      <c r="G270" s="164"/>
      <c r="H270" s="164"/>
      <c r="I270" s="164"/>
      <c r="J270" s="164"/>
      <c r="K270" s="164"/>
      <c r="L270" s="164"/>
      <c r="M270" s="164"/>
      <c r="N270" s="164"/>
      <c r="O270" s="164"/>
      <c r="P270" s="164"/>
      <c r="Q270" s="164"/>
      <c r="R270" s="164"/>
      <c r="S270" s="164"/>
      <c r="T270" s="164"/>
      <c r="U270" s="164"/>
      <c r="V270" s="164"/>
      <c r="W270" s="242"/>
      <c r="X270" s="242"/>
    </row>
    <row r="271" spans="1:24" ht="15.75">
      <c r="A271" s="273"/>
      <c r="B271" s="274"/>
      <c r="C271" s="164"/>
      <c r="D271" s="164"/>
      <c r="E271" s="164"/>
      <c r="F271" s="164"/>
      <c r="G271" s="164"/>
      <c r="H271" s="164"/>
      <c r="I271" s="164"/>
      <c r="J271" s="164"/>
      <c r="K271" s="164"/>
      <c r="L271" s="164"/>
      <c r="M271" s="164"/>
      <c r="N271" s="164"/>
      <c r="O271" s="164"/>
      <c r="P271" s="164"/>
      <c r="Q271" s="164"/>
      <c r="R271" s="164"/>
      <c r="S271" s="164"/>
      <c r="T271" s="164"/>
      <c r="U271" s="164"/>
      <c r="V271" s="164"/>
      <c r="W271" s="242"/>
      <c r="X271" s="242"/>
    </row>
    <row r="272" spans="1:24" ht="15.75">
      <c r="A272" s="273"/>
      <c r="B272" s="274"/>
      <c r="C272" s="164"/>
      <c r="D272" s="164"/>
      <c r="E272" s="164"/>
      <c r="F272" s="164"/>
      <c r="G272" s="164"/>
      <c r="H272" s="164"/>
      <c r="I272" s="164"/>
      <c r="J272" s="164"/>
      <c r="K272" s="164"/>
      <c r="L272" s="164"/>
      <c r="M272" s="164"/>
      <c r="N272" s="164"/>
      <c r="O272" s="164"/>
      <c r="P272" s="164"/>
      <c r="Q272" s="164"/>
      <c r="R272" s="164"/>
      <c r="S272" s="164"/>
      <c r="T272" s="164"/>
      <c r="U272" s="164"/>
      <c r="V272" s="164"/>
      <c r="W272" s="242"/>
      <c r="X272" s="242"/>
    </row>
    <row r="273" spans="1:24" ht="15.75">
      <c r="A273" s="273"/>
      <c r="B273" s="274"/>
      <c r="C273" s="164"/>
      <c r="D273" s="164"/>
      <c r="E273" s="164"/>
      <c r="F273" s="164"/>
      <c r="G273" s="164"/>
      <c r="H273" s="164"/>
      <c r="I273" s="164"/>
      <c r="J273" s="164"/>
      <c r="K273" s="164"/>
      <c r="L273" s="164"/>
      <c r="M273" s="164"/>
      <c r="N273" s="164"/>
      <c r="O273" s="164"/>
      <c r="P273" s="164"/>
      <c r="Q273" s="164"/>
      <c r="R273" s="164"/>
      <c r="S273" s="164"/>
      <c r="T273" s="164"/>
      <c r="U273" s="164"/>
      <c r="V273" s="164"/>
      <c r="W273" s="242"/>
      <c r="X273" s="242"/>
    </row>
    <row r="274" spans="1:24" ht="15.75">
      <c r="A274" s="273"/>
      <c r="B274" s="274"/>
      <c r="C274" s="164"/>
      <c r="D274" s="164"/>
      <c r="E274" s="164"/>
      <c r="F274" s="164"/>
      <c r="G274" s="164"/>
      <c r="H274" s="164"/>
      <c r="I274" s="164"/>
      <c r="J274" s="164"/>
      <c r="K274" s="164"/>
      <c r="L274" s="164"/>
      <c r="M274" s="164"/>
      <c r="N274" s="164"/>
      <c r="O274" s="164"/>
      <c r="P274" s="164"/>
      <c r="Q274" s="164"/>
      <c r="R274" s="164"/>
      <c r="S274" s="164"/>
      <c r="T274" s="164"/>
      <c r="U274" s="164"/>
      <c r="V274" s="164"/>
      <c r="W274" s="242"/>
      <c r="X274" s="242"/>
    </row>
    <row r="275" spans="1:24" ht="15.75">
      <c r="A275" s="273"/>
      <c r="B275" s="274"/>
      <c r="C275" s="164"/>
      <c r="D275" s="164"/>
      <c r="E275" s="164"/>
      <c r="F275" s="164"/>
      <c r="G275" s="164"/>
      <c r="H275" s="164"/>
      <c r="I275" s="164"/>
      <c r="J275" s="164"/>
      <c r="K275" s="164"/>
      <c r="L275" s="164"/>
      <c r="M275" s="164"/>
      <c r="N275" s="164"/>
      <c r="O275" s="164"/>
      <c r="P275" s="164"/>
      <c r="Q275" s="164"/>
      <c r="R275" s="164"/>
      <c r="S275" s="164"/>
      <c r="T275" s="164"/>
      <c r="U275" s="164"/>
      <c r="V275" s="164"/>
      <c r="W275" s="242"/>
      <c r="X275" s="242"/>
    </row>
    <row r="276" spans="1:24" ht="15.75">
      <c r="A276" s="273"/>
      <c r="B276" s="274"/>
      <c r="C276" s="164"/>
      <c r="D276" s="164"/>
      <c r="E276" s="164"/>
      <c r="F276" s="164"/>
      <c r="G276" s="164"/>
      <c r="H276" s="164"/>
      <c r="I276" s="164"/>
      <c r="J276" s="164"/>
      <c r="K276" s="164"/>
      <c r="L276" s="164"/>
      <c r="M276" s="164"/>
      <c r="N276" s="164"/>
      <c r="O276" s="164"/>
      <c r="P276" s="164"/>
      <c r="Q276" s="164"/>
      <c r="R276" s="164"/>
      <c r="S276" s="164"/>
      <c r="T276" s="164"/>
      <c r="U276" s="164"/>
      <c r="V276" s="164"/>
      <c r="W276" s="242"/>
      <c r="X276" s="242"/>
    </row>
    <row r="277" spans="1:24" ht="15.75">
      <c r="A277" s="273"/>
      <c r="B277" s="274"/>
      <c r="C277" s="164"/>
      <c r="D277" s="164"/>
      <c r="E277" s="164"/>
      <c r="F277" s="164"/>
      <c r="G277" s="164"/>
      <c r="H277" s="164"/>
      <c r="I277" s="164"/>
      <c r="J277" s="164"/>
      <c r="K277" s="164"/>
      <c r="L277" s="164"/>
      <c r="M277" s="164"/>
      <c r="N277" s="164"/>
      <c r="O277" s="164"/>
      <c r="P277" s="164"/>
      <c r="Q277" s="164"/>
      <c r="R277" s="164"/>
      <c r="S277" s="164"/>
      <c r="T277" s="164"/>
      <c r="U277" s="164"/>
      <c r="V277" s="164"/>
      <c r="W277" s="242"/>
      <c r="X277" s="242"/>
    </row>
    <row r="278" spans="1:24" ht="15.75">
      <c r="A278" s="273"/>
      <c r="B278" s="274"/>
      <c r="C278" s="164"/>
      <c r="D278" s="164"/>
      <c r="E278" s="164"/>
      <c r="F278" s="164"/>
      <c r="G278" s="164"/>
      <c r="H278" s="164"/>
      <c r="I278" s="164"/>
      <c r="J278" s="164"/>
      <c r="K278" s="164"/>
      <c r="L278" s="164"/>
      <c r="M278" s="164"/>
      <c r="N278" s="164"/>
      <c r="O278" s="164"/>
      <c r="P278" s="164"/>
      <c r="Q278" s="164"/>
      <c r="R278" s="164"/>
      <c r="S278" s="164"/>
      <c r="T278" s="164"/>
      <c r="U278" s="164"/>
      <c r="V278" s="164"/>
      <c r="W278" s="242"/>
      <c r="X278" s="242"/>
    </row>
    <row r="279" spans="1:24" ht="15.75">
      <c r="A279" s="273"/>
      <c r="B279" s="274"/>
      <c r="C279" s="164"/>
      <c r="D279" s="164"/>
      <c r="E279" s="164"/>
      <c r="F279" s="164"/>
      <c r="G279" s="164"/>
      <c r="H279" s="164"/>
      <c r="I279" s="164"/>
      <c r="J279" s="164"/>
      <c r="K279" s="164"/>
      <c r="L279" s="164"/>
      <c r="M279" s="164"/>
      <c r="N279" s="164"/>
      <c r="O279" s="164"/>
      <c r="P279" s="164"/>
      <c r="Q279" s="164"/>
      <c r="R279" s="164"/>
      <c r="S279" s="164"/>
      <c r="T279" s="164"/>
      <c r="U279" s="164"/>
      <c r="V279" s="164"/>
      <c r="W279" s="242"/>
      <c r="X279" s="242"/>
    </row>
    <row r="280" spans="1:24" ht="15.75">
      <c r="A280" s="273"/>
      <c r="B280" s="274"/>
      <c r="C280" s="164"/>
      <c r="D280" s="164"/>
      <c r="E280" s="164"/>
      <c r="F280" s="164"/>
      <c r="G280" s="164"/>
      <c r="H280" s="164"/>
      <c r="I280" s="164"/>
      <c r="J280" s="164"/>
      <c r="K280" s="164"/>
      <c r="L280" s="164"/>
      <c r="M280" s="164"/>
      <c r="N280" s="164"/>
      <c r="O280" s="164"/>
      <c r="P280" s="164"/>
      <c r="Q280" s="164"/>
      <c r="R280" s="164"/>
      <c r="S280" s="164"/>
      <c r="T280" s="164"/>
      <c r="U280" s="164"/>
      <c r="V280" s="164"/>
      <c r="W280" s="242"/>
      <c r="X280" s="242"/>
    </row>
    <row r="281" spans="1:24" ht="15.75">
      <c r="A281" s="273"/>
      <c r="B281" s="274"/>
      <c r="C281" s="164"/>
      <c r="D281" s="164"/>
      <c r="E281" s="164"/>
      <c r="F281" s="164"/>
      <c r="G281" s="164"/>
      <c r="H281" s="164"/>
      <c r="I281" s="164"/>
      <c r="J281" s="164"/>
      <c r="K281" s="164"/>
      <c r="L281" s="164"/>
      <c r="M281" s="164"/>
      <c r="N281" s="164"/>
      <c r="O281" s="164"/>
      <c r="P281" s="164"/>
      <c r="Q281" s="164"/>
      <c r="R281" s="164"/>
      <c r="S281" s="164"/>
      <c r="T281" s="164"/>
      <c r="U281" s="164"/>
      <c r="V281" s="164"/>
      <c r="W281" s="242"/>
      <c r="X281" s="242"/>
    </row>
    <row r="282" spans="1:24" ht="15.75">
      <c r="A282" s="273"/>
      <c r="B282" s="274"/>
      <c r="C282" s="164"/>
      <c r="D282" s="164"/>
      <c r="E282" s="164"/>
      <c r="F282" s="164"/>
      <c r="G282" s="164"/>
      <c r="H282" s="164"/>
      <c r="I282" s="164"/>
      <c r="J282" s="164"/>
      <c r="K282" s="164"/>
      <c r="L282" s="164"/>
      <c r="M282" s="164"/>
      <c r="N282" s="164"/>
      <c r="O282" s="164"/>
      <c r="P282" s="164"/>
      <c r="Q282" s="164"/>
      <c r="R282" s="164"/>
      <c r="S282" s="164"/>
      <c r="T282" s="164"/>
      <c r="U282" s="164"/>
      <c r="V282" s="164"/>
      <c r="W282" s="242"/>
      <c r="X282" s="242"/>
    </row>
    <row r="283" spans="1:24" ht="15.75">
      <c r="A283" s="273"/>
      <c r="B283" s="274"/>
      <c r="C283" s="164"/>
      <c r="D283" s="164"/>
      <c r="E283" s="164"/>
      <c r="F283" s="164"/>
      <c r="G283" s="164"/>
      <c r="H283" s="164"/>
      <c r="I283" s="164"/>
      <c r="J283" s="164"/>
      <c r="K283" s="164"/>
      <c r="L283" s="164"/>
      <c r="M283" s="164"/>
      <c r="N283" s="164"/>
      <c r="O283" s="164"/>
      <c r="P283" s="164"/>
      <c r="Q283" s="164"/>
      <c r="R283" s="164"/>
      <c r="S283" s="164"/>
      <c r="T283" s="164"/>
      <c r="U283" s="164"/>
      <c r="V283" s="164"/>
      <c r="W283" s="242"/>
      <c r="X283" s="242"/>
    </row>
    <row r="284" spans="1:24" ht="15.75">
      <c r="A284" s="273"/>
      <c r="B284" s="274"/>
      <c r="C284" s="164"/>
      <c r="D284" s="164"/>
      <c r="E284" s="164"/>
      <c r="F284" s="164"/>
      <c r="G284" s="164"/>
      <c r="H284" s="164"/>
      <c r="I284" s="164"/>
      <c r="J284" s="164"/>
      <c r="K284" s="164"/>
      <c r="L284" s="164"/>
      <c r="M284" s="164"/>
      <c r="N284" s="164"/>
      <c r="O284" s="164"/>
      <c r="P284" s="164"/>
      <c r="Q284" s="164"/>
      <c r="R284" s="164"/>
      <c r="S284" s="164"/>
      <c r="T284" s="164"/>
      <c r="U284" s="164"/>
      <c r="V284" s="164"/>
      <c r="W284" s="242"/>
      <c r="X284" s="242"/>
    </row>
    <row r="285" spans="1:24" ht="15.75">
      <c r="A285" s="273"/>
      <c r="B285" s="274"/>
      <c r="C285" s="164"/>
      <c r="D285" s="164"/>
      <c r="E285" s="164"/>
      <c r="F285" s="164"/>
      <c r="G285" s="164"/>
      <c r="H285" s="164"/>
      <c r="I285" s="164"/>
      <c r="J285" s="164"/>
      <c r="K285" s="164"/>
      <c r="L285" s="164"/>
      <c r="M285" s="164"/>
      <c r="N285" s="164"/>
      <c r="O285" s="164"/>
      <c r="P285" s="164"/>
      <c r="Q285" s="164"/>
      <c r="R285" s="164"/>
      <c r="S285" s="164"/>
      <c r="T285" s="164"/>
      <c r="U285" s="164"/>
      <c r="V285" s="164"/>
      <c r="W285" s="242"/>
      <c r="X285" s="242"/>
    </row>
    <row r="286" spans="1:24" ht="15.75">
      <c r="A286" s="273"/>
      <c r="B286" s="274"/>
      <c r="C286" s="164"/>
      <c r="D286" s="164"/>
      <c r="E286" s="164"/>
      <c r="F286" s="164"/>
      <c r="G286" s="164"/>
      <c r="H286" s="164"/>
      <c r="I286" s="164"/>
      <c r="J286" s="164"/>
      <c r="K286" s="164"/>
      <c r="L286" s="164"/>
      <c r="M286" s="164"/>
      <c r="N286" s="164"/>
      <c r="O286" s="164"/>
      <c r="P286" s="164"/>
      <c r="Q286" s="164"/>
      <c r="R286" s="164"/>
      <c r="S286" s="164"/>
      <c r="T286" s="164"/>
      <c r="U286" s="164"/>
      <c r="V286" s="164"/>
      <c r="W286" s="242"/>
      <c r="X286" s="242"/>
    </row>
    <row r="287" spans="1:24" ht="15.75">
      <c r="A287" s="273"/>
      <c r="B287" s="274"/>
      <c r="C287" s="164"/>
      <c r="D287" s="164"/>
      <c r="E287" s="164"/>
      <c r="F287" s="164"/>
      <c r="G287" s="164"/>
      <c r="H287" s="164"/>
      <c r="I287" s="164"/>
      <c r="J287" s="164"/>
      <c r="K287" s="164"/>
      <c r="L287" s="164"/>
      <c r="M287" s="164"/>
      <c r="N287" s="164"/>
      <c r="O287" s="164"/>
      <c r="P287" s="164"/>
      <c r="Q287" s="164"/>
      <c r="R287" s="164"/>
      <c r="S287" s="164"/>
      <c r="T287" s="164"/>
      <c r="U287" s="164"/>
      <c r="V287" s="164"/>
      <c r="W287" s="242"/>
      <c r="X287" s="242"/>
    </row>
    <row r="288" spans="1:24" ht="15.75">
      <c r="A288" s="273"/>
      <c r="B288" s="274"/>
      <c r="C288" s="164"/>
      <c r="D288" s="164"/>
      <c r="E288" s="164"/>
      <c r="F288" s="164"/>
      <c r="G288" s="164"/>
      <c r="H288" s="164"/>
      <c r="I288" s="164"/>
      <c r="J288" s="164"/>
      <c r="K288" s="164"/>
      <c r="L288" s="164"/>
      <c r="M288" s="164"/>
      <c r="N288" s="164"/>
      <c r="O288" s="164"/>
      <c r="P288" s="164"/>
      <c r="Q288" s="164"/>
      <c r="R288" s="164"/>
      <c r="S288" s="164"/>
      <c r="T288" s="164"/>
      <c r="U288" s="164"/>
      <c r="V288" s="164"/>
      <c r="W288" s="242"/>
      <c r="X288" s="242"/>
    </row>
    <row r="289" spans="1:24" ht="15.75">
      <c r="A289" s="273"/>
      <c r="B289" s="274"/>
      <c r="C289" s="164"/>
      <c r="D289" s="164"/>
      <c r="E289" s="164"/>
      <c r="F289" s="164"/>
      <c r="G289" s="164"/>
      <c r="H289" s="164"/>
      <c r="I289" s="164"/>
      <c r="J289" s="164"/>
      <c r="K289" s="164"/>
      <c r="L289" s="164"/>
      <c r="M289" s="164"/>
      <c r="N289" s="164"/>
      <c r="O289" s="164"/>
      <c r="P289" s="164"/>
      <c r="Q289" s="164"/>
      <c r="R289" s="164"/>
      <c r="S289" s="164"/>
      <c r="T289" s="164"/>
      <c r="U289" s="164"/>
      <c r="V289" s="164"/>
      <c r="W289" s="242"/>
      <c r="X289" s="242"/>
    </row>
    <row r="290" spans="1:24" ht="15.75">
      <c r="A290" s="273"/>
      <c r="B290" s="274"/>
      <c r="C290" s="164"/>
      <c r="D290" s="164"/>
      <c r="E290" s="164"/>
      <c r="F290" s="164"/>
      <c r="G290" s="164"/>
      <c r="H290" s="164"/>
      <c r="I290" s="164"/>
      <c r="J290" s="164"/>
      <c r="K290" s="164"/>
      <c r="L290" s="164"/>
      <c r="M290" s="164"/>
      <c r="N290" s="164"/>
      <c r="O290" s="164"/>
      <c r="P290" s="164"/>
      <c r="Q290" s="164"/>
      <c r="R290" s="164"/>
      <c r="S290" s="164"/>
      <c r="T290" s="164"/>
      <c r="U290" s="164"/>
      <c r="V290" s="164"/>
      <c r="W290" s="242"/>
      <c r="X290" s="242"/>
    </row>
    <row r="291" spans="1:24" ht="15.75">
      <c r="A291" s="273"/>
      <c r="B291" s="274"/>
      <c r="C291" s="164"/>
      <c r="D291" s="164"/>
      <c r="E291" s="164"/>
      <c r="F291" s="164"/>
      <c r="G291" s="164"/>
      <c r="H291" s="164"/>
      <c r="I291" s="164"/>
      <c r="J291" s="164"/>
      <c r="K291" s="164"/>
      <c r="L291" s="164"/>
      <c r="M291" s="164"/>
      <c r="N291" s="164"/>
      <c r="O291" s="164"/>
      <c r="P291" s="164"/>
      <c r="Q291" s="164"/>
      <c r="R291" s="164"/>
      <c r="S291" s="164"/>
      <c r="T291" s="164"/>
      <c r="U291" s="164"/>
      <c r="V291" s="164"/>
      <c r="W291" s="242"/>
      <c r="X291" s="242"/>
    </row>
    <row r="292" spans="1:24" ht="15.75">
      <c r="A292" s="273"/>
      <c r="B292" s="274"/>
      <c r="C292" s="164"/>
      <c r="D292" s="164"/>
      <c r="E292" s="164"/>
      <c r="F292" s="164"/>
      <c r="G292" s="164"/>
      <c r="H292" s="164"/>
      <c r="I292" s="164"/>
      <c r="J292" s="164"/>
      <c r="K292" s="164"/>
      <c r="L292" s="164"/>
      <c r="M292" s="164"/>
      <c r="N292" s="164"/>
      <c r="O292" s="164"/>
      <c r="P292" s="164"/>
      <c r="Q292" s="164"/>
      <c r="R292" s="164"/>
      <c r="S292" s="164"/>
      <c r="T292" s="164"/>
      <c r="U292" s="164"/>
      <c r="V292" s="164"/>
      <c r="W292" s="242"/>
      <c r="X292" s="242"/>
    </row>
    <row r="293" spans="1:24" ht="15.75">
      <c r="A293" s="273"/>
      <c r="B293" s="274"/>
      <c r="C293" s="164"/>
      <c r="D293" s="164"/>
      <c r="E293" s="164"/>
      <c r="F293" s="164"/>
      <c r="G293" s="164"/>
      <c r="H293" s="164"/>
      <c r="I293" s="164"/>
      <c r="J293" s="164"/>
      <c r="K293" s="164"/>
      <c r="L293" s="164"/>
      <c r="M293" s="164"/>
      <c r="N293" s="164"/>
      <c r="O293" s="164"/>
      <c r="P293" s="164"/>
      <c r="Q293" s="164"/>
      <c r="R293" s="164"/>
      <c r="S293" s="164"/>
      <c r="T293" s="164"/>
      <c r="U293" s="164"/>
      <c r="V293" s="164"/>
      <c r="W293" s="242"/>
      <c r="X293" s="242"/>
    </row>
    <row r="294" spans="1:24" ht="15.75">
      <c r="A294" s="273"/>
      <c r="B294" s="274"/>
      <c r="C294" s="164"/>
      <c r="D294" s="164"/>
      <c r="E294" s="164"/>
      <c r="F294" s="164"/>
      <c r="G294" s="164"/>
      <c r="H294" s="164"/>
      <c r="I294" s="164"/>
      <c r="J294" s="164"/>
      <c r="K294" s="164"/>
      <c r="L294" s="164"/>
      <c r="M294" s="164"/>
      <c r="N294" s="164"/>
      <c r="O294" s="164"/>
      <c r="P294" s="164"/>
      <c r="Q294" s="164"/>
      <c r="R294" s="164"/>
      <c r="S294" s="164"/>
      <c r="T294" s="164"/>
      <c r="U294" s="164"/>
      <c r="V294" s="164"/>
      <c r="W294" s="242"/>
      <c r="X294" s="242"/>
    </row>
    <row r="295" spans="1:24" ht="15.75">
      <c r="A295" s="273"/>
      <c r="B295" s="274"/>
      <c r="C295" s="164"/>
      <c r="D295" s="164"/>
      <c r="E295" s="164"/>
      <c r="F295" s="164"/>
      <c r="G295" s="164"/>
      <c r="H295" s="164"/>
      <c r="I295" s="164"/>
      <c r="J295" s="164"/>
      <c r="K295" s="164"/>
      <c r="L295" s="164"/>
      <c r="M295" s="164"/>
      <c r="N295" s="164"/>
      <c r="O295" s="164"/>
      <c r="P295" s="164"/>
      <c r="Q295" s="164"/>
      <c r="R295" s="164"/>
      <c r="S295" s="164"/>
      <c r="T295" s="164"/>
      <c r="U295" s="164"/>
      <c r="V295" s="164"/>
      <c r="W295" s="242"/>
      <c r="X295" s="242"/>
    </row>
    <row r="296" spans="1:24" ht="15.75">
      <c r="A296" s="273"/>
      <c r="B296" s="274"/>
      <c r="C296" s="164"/>
      <c r="D296" s="164"/>
      <c r="E296" s="164"/>
      <c r="F296" s="164"/>
      <c r="G296" s="164"/>
      <c r="H296" s="164"/>
      <c r="I296" s="164"/>
      <c r="J296" s="164"/>
      <c r="K296" s="164"/>
      <c r="L296" s="164"/>
      <c r="M296" s="164"/>
      <c r="N296" s="164"/>
      <c r="O296" s="164"/>
      <c r="P296" s="164"/>
      <c r="Q296" s="164"/>
      <c r="R296" s="164"/>
      <c r="S296" s="164"/>
      <c r="T296" s="164"/>
      <c r="U296" s="164"/>
      <c r="V296" s="164"/>
      <c r="W296" s="242"/>
      <c r="X296" s="242"/>
    </row>
    <row r="297" spans="1:24" ht="15.75">
      <c r="A297" s="273"/>
      <c r="B297" s="274"/>
      <c r="C297" s="164"/>
      <c r="D297" s="164"/>
      <c r="E297" s="164"/>
      <c r="F297" s="164"/>
      <c r="G297" s="164"/>
      <c r="H297" s="164"/>
      <c r="I297" s="164"/>
      <c r="J297" s="164"/>
      <c r="K297" s="164"/>
      <c r="L297" s="164"/>
      <c r="M297" s="164"/>
      <c r="N297" s="164"/>
      <c r="O297" s="164"/>
      <c r="P297" s="164"/>
      <c r="Q297" s="164"/>
      <c r="R297" s="164"/>
      <c r="S297" s="164"/>
      <c r="T297" s="164"/>
      <c r="U297" s="164"/>
      <c r="V297" s="164"/>
      <c r="W297" s="242"/>
      <c r="X297" s="242"/>
    </row>
    <row r="298" spans="1:24" ht="15.75">
      <c r="A298" s="273"/>
      <c r="B298" s="274"/>
      <c r="C298" s="164"/>
      <c r="D298" s="164"/>
      <c r="E298" s="164"/>
      <c r="F298" s="164"/>
      <c r="G298" s="164"/>
      <c r="H298" s="164"/>
      <c r="I298" s="164"/>
      <c r="J298" s="164"/>
      <c r="K298" s="164"/>
      <c r="L298" s="164"/>
      <c r="M298" s="164"/>
      <c r="N298" s="164"/>
      <c r="O298" s="164"/>
      <c r="P298" s="164"/>
      <c r="Q298" s="164"/>
      <c r="R298" s="164"/>
      <c r="S298" s="164"/>
      <c r="T298" s="164"/>
      <c r="U298" s="164"/>
      <c r="V298" s="164"/>
      <c r="W298" s="242"/>
      <c r="X298" s="242"/>
    </row>
    <row r="299" spans="1:24" ht="15.75">
      <c r="A299" s="273"/>
      <c r="B299" s="274"/>
      <c r="C299" s="164"/>
      <c r="D299" s="164"/>
      <c r="E299" s="164"/>
      <c r="F299" s="164"/>
      <c r="G299" s="164"/>
      <c r="H299" s="164"/>
      <c r="I299" s="164"/>
      <c r="J299" s="164"/>
      <c r="K299" s="164"/>
      <c r="L299" s="164"/>
      <c r="M299" s="164"/>
      <c r="N299" s="164"/>
      <c r="O299" s="164"/>
      <c r="P299" s="164"/>
      <c r="Q299" s="164"/>
      <c r="R299" s="164"/>
      <c r="S299" s="164"/>
      <c r="T299" s="164"/>
      <c r="U299" s="164"/>
      <c r="V299" s="164"/>
      <c r="W299" s="242"/>
      <c r="X299" s="242"/>
    </row>
    <row r="300" spans="1:24" ht="15.75">
      <c r="A300" s="273"/>
      <c r="B300" s="274"/>
      <c r="C300" s="164"/>
      <c r="D300" s="164"/>
      <c r="E300" s="164"/>
      <c r="F300" s="164"/>
      <c r="G300" s="164"/>
      <c r="H300" s="164"/>
      <c r="I300" s="164"/>
      <c r="J300" s="164"/>
      <c r="K300" s="164"/>
      <c r="L300" s="164"/>
      <c r="M300" s="164"/>
      <c r="N300" s="164"/>
      <c r="O300" s="164"/>
      <c r="P300" s="164"/>
      <c r="Q300" s="164"/>
      <c r="R300" s="164"/>
      <c r="S300" s="164"/>
      <c r="T300" s="164"/>
      <c r="U300" s="164"/>
      <c r="V300" s="164"/>
      <c r="W300" s="242"/>
      <c r="X300" s="242"/>
    </row>
    <row r="301" spans="1:24" ht="15.75">
      <c r="A301" s="273"/>
      <c r="B301" s="274"/>
      <c r="C301" s="164"/>
      <c r="D301" s="164"/>
      <c r="E301" s="164"/>
      <c r="F301" s="164"/>
      <c r="G301" s="164"/>
      <c r="H301" s="164"/>
      <c r="I301" s="164"/>
      <c r="J301" s="164"/>
      <c r="K301" s="164"/>
      <c r="L301" s="164"/>
      <c r="M301" s="164"/>
      <c r="N301" s="164"/>
      <c r="O301" s="164"/>
      <c r="P301" s="164"/>
      <c r="Q301" s="164"/>
      <c r="R301" s="164"/>
      <c r="S301" s="164"/>
      <c r="T301" s="164"/>
      <c r="U301" s="164"/>
      <c r="V301" s="164"/>
      <c r="W301" s="242"/>
      <c r="X301" s="242"/>
    </row>
    <row r="302" spans="1:24" ht="15.75">
      <c r="A302" s="273"/>
      <c r="B302" s="274"/>
      <c r="C302" s="164"/>
      <c r="D302" s="164"/>
      <c r="E302" s="164"/>
      <c r="F302" s="164"/>
      <c r="G302" s="164"/>
      <c r="H302" s="164"/>
      <c r="I302" s="164"/>
      <c r="J302" s="164"/>
      <c r="K302" s="164"/>
      <c r="L302" s="164"/>
      <c r="M302" s="164"/>
      <c r="N302" s="164"/>
      <c r="O302" s="164"/>
      <c r="P302" s="164"/>
      <c r="Q302" s="164"/>
      <c r="R302" s="164"/>
      <c r="S302" s="164"/>
      <c r="T302" s="164"/>
      <c r="U302" s="164"/>
      <c r="V302" s="164"/>
      <c r="W302" s="242"/>
      <c r="X302" s="242"/>
    </row>
    <row r="303" spans="1:24" ht="15.75">
      <c r="A303" s="273"/>
      <c r="B303" s="274"/>
      <c r="C303" s="164"/>
      <c r="D303" s="164"/>
      <c r="E303" s="164"/>
      <c r="F303" s="164"/>
      <c r="G303" s="164"/>
      <c r="H303" s="164"/>
      <c r="I303" s="164"/>
      <c r="J303" s="164"/>
      <c r="K303" s="164"/>
      <c r="L303" s="164"/>
      <c r="M303" s="164"/>
      <c r="N303" s="164"/>
      <c r="O303" s="164"/>
      <c r="P303" s="164"/>
      <c r="Q303" s="164"/>
      <c r="R303" s="164"/>
      <c r="S303" s="164"/>
      <c r="T303" s="164"/>
      <c r="U303" s="164"/>
      <c r="V303" s="164"/>
      <c r="W303" s="242"/>
      <c r="X303" s="242"/>
    </row>
    <row r="304" spans="1:24" ht="15.75">
      <c r="A304" s="273"/>
      <c r="B304" s="274"/>
      <c r="C304" s="164"/>
      <c r="D304" s="164"/>
      <c r="E304" s="164"/>
      <c r="F304" s="164"/>
      <c r="G304" s="164"/>
      <c r="H304" s="164"/>
      <c r="I304" s="164"/>
      <c r="J304" s="164"/>
      <c r="K304" s="164"/>
      <c r="L304" s="164"/>
      <c r="M304" s="164"/>
      <c r="N304" s="164"/>
      <c r="O304" s="164"/>
      <c r="P304" s="164"/>
      <c r="Q304" s="164"/>
      <c r="R304" s="164"/>
      <c r="S304" s="164"/>
      <c r="T304" s="164"/>
      <c r="U304" s="164"/>
      <c r="V304" s="164"/>
      <c r="W304" s="242"/>
      <c r="X304" s="242"/>
    </row>
    <row r="305" spans="1:24" ht="15.75">
      <c r="A305" s="273"/>
      <c r="B305" s="274"/>
      <c r="C305" s="164"/>
      <c r="D305" s="164"/>
      <c r="E305" s="164"/>
      <c r="F305" s="164"/>
      <c r="G305" s="164"/>
      <c r="H305" s="164"/>
      <c r="I305" s="164"/>
      <c r="J305" s="164"/>
      <c r="K305" s="164"/>
      <c r="L305" s="164"/>
      <c r="M305" s="164"/>
      <c r="N305" s="164"/>
      <c r="O305" s="164"/>
      <c r="P305" s="164"/>
      <c r="Q305" s="164"/>
      <c r="R305" s="164"/>
      <c r="S305" s="164"/>
      <c r="T305" s="164"/>
      <c r="U305" s="164"/>
      <c r="V305" s="164"/>
      <c r="W305" s="242"/>
      <c r="X305" s="242"/>
    </row>
    <row r="306" spans="1:24" ht="15.75">
      <c r="A306" s="273"/>
      <c r="B306" s="274"/>
      <c r="C306" s="164"/>
      <c r="D306" s="164"/>
      <c r="E306" s="164"/>
      <c r="F306" s="164"/>
      <c r="G306" s="164"/>
      <c r="H306" s="164"/>
      <c r="I306" s="164"/>
      <c r="J306" s="164"/>
      <c r="K306" s="164"/>
      <c r="L306" s="164"/>
      <c r="M306" s="164"/>
      <c r="N306" s="164"/>
      <c r="O306" s="164"/>
      <c r="P306" s="164"/>
      <c r="Q306" s="164"/>
      <c r="R306" s="164"/>
      <c r="S306" s="164"/>
      <c r="T306" s="164"/>
      <c r="U306" s="164"/>
      <c r="V306" s="164"/>
      <c r="W306" s="242"/>
      <c r="X306" s="242"/>
    </row>
    <row r="307" spans="1:24" ht="15.75">
      <c r="A307" s="273"/>
      <c r="B307" s="274"/>
      <c r="C307" s="164"/>
      <c r="D307" s="164"/>
      <c r="E307" s="164"/>
      <c r="F307" s="164"/>
      <c r="G307" s="164"/>
      <c r="H307" s="164"/>
      <c r="I307" s="164"/>
      <c r="J307" s="164"/>
      <c r="K307" s="164"/>
      <c r="L307" s="164"/>
      <c r="M307" s="164"/>
      <c r="N307" s="164"/>
      <c r="O307" s="164"/>
      <c r="P307" s="164"/>
      <c r="Q307" s="164"/>
      <c r="R307" s="164"/>
      <c r="S307" s="164"/>
      <c r="T307" s="164"/>
      <c r="U307" s="164"/>
      <c r="V307" s="164"/>
      <c r="W307" s="242"/>
      <c r="X307" s="242"/>
    </row>
    <row r="308" spans="1:24" ht="15.75">
      <c r="A308" s="273"/>
      <c r="B308" s="274"/>
      <c r="C308" s="164"/>
      <c r="D308" s="164"/>
      <c r="E308" s="164"/>
      <c r="F308" s="164"/>
      <c r="G308" s="164"/>
      <c r="H308" s="164"/>
      <c r="I308" s="164"/>
      <c r="J308" s="164"/>
      <c r="K308" s="164"/>
      <c r="L308" s="164"/>
      <c r="M308" s="164"/>
      <c r="N308" s="164"/>
      <c r="O308" s="164"/>
      <c r="P308" s="164"/>
      <c r="Q308" s="164"/>
      <c r="R308" s="164"/>
      <c r="S308" s="164"/>
      <c r="T308" s="164"/>
      <c r="U308" s="164"/>
      <c r="V308" s="164"/>
      <c r="W308" s="242"/>
      <c r="X308" s="242"/>
    </row>
    <row r="309" spans="1:24" ht="15.75">
      <c r="A309" s="273"/>
      <c r="B309" s="274"/>
      <c r="C309" s="164"/>
      <c r="D309" s="164"/>
      <c r="E309" s="164"/>
      <c r="F309" s="164"/>
      <c r="G309" s="164"/>
      <c r="H309" s="164"/>
      <c r="I309" s="164"/>
      <c r="J309" s="164"/>
      <c r="K309" s="164"/>
      <c r="L309" s="164"/>
      <c r="M309" s="164"/>
      <c r="N309" s="164"/>
      <c r="O309" s="164"/>
      <c r="P309" s="164"/>
      <c r="Q309" s="164"/>
      <c r="R309" s="164"/>
      <c r="S309" s="164"/>
      <c r="T309" s="164"/>
      <c r="U309" s="164"/>
      <c r="V309" s="164"/>
      <c r="W309" s="242"/>
      <c r="X309" s="242"/>
    </row>
    <row r="310" spans="1:24" ht="15.75">
      <c r="A310" s="273"/>
      <c r="B310" s="274"/>
      <c r="C310" s="164"/>
      <c r="D310" s="164"/>
      <c r="E310" s="164"/>
      <c r="F310" s="164"/>
      <c r="G310" s="164"/>
      <c r="H310" s="164"/>
      <c r="I310" s="164"/>
      <c r="J310" s="164"/>
      <c r="K310" s="164"/>
      <c r="L310" s="164"/>
      <c r="M310" s="164"/>
      <c r="N310" s="164"/>
      <c r="O310" s="164"/>
      <c r="P310" s="164"/>
      <c r="Q310" s="164"/>
      <c r="R310" s="164"/>
      <c r="S310" s="164"/>
      <c r="T310" s="164"/>
      <c r="U310" s="164"/>
      <c r="V310" s="164"/>
      <c r="W310" s="242"/>
      <c r="X310" s="242"/>
    </row>
    <row r="311" spans="1:24" ht="15.75">
      <c r="A311" s="273"/>
      <c r="B311" s="274"/>
      <c r="C311" s="164"/>
      <c r="D311" s="164"/>
      <c r="E311" s="164"/>
      <c r="F311" s="164"/>
      <c r="G311" s="164"/>
      <c r="H311" s="164"/>
      <c r="I311" s="164"/>
      <c r="J311" s="164"/>
      <c r="K311" s="164"/>
      <c r="L311" s="164"/>
      <c r="M311" s="164"/>
      <c r="N311" s="164"/>
      <c r="O311" s="164"/>
      <c r="P311" s="164"/>
      <c r="Q311" s="164"/>
      <c r="R311" s="164"/>
      <c r="S311" s="164"/>
      <c r="T311" s="164"/>
      <c r="U311" s="164"/>
      <c r="V311" s="164"/>
      <c r="W311" s="242"/>
      <c r="X311" s="242"/>
    </row>
    <row r="312" spans="1:24" ht="15.75">
      <c r="A312" s="273"/>
      <c r="B312" s="274"/>
      <c r="C312" s="164"/>
      <c r="D312" s="164"/>
      <c r="E312" s="164"/>
      <c r="F312" s="164"/>
      <c r="G312" s="164"/>
      <c r="H312" s="164"/>
      <c r="I312" s="164"/>
      <c r="J312" s="164"/>
      <c r="K312" s="164"/>
      <c r="L312" s="164"/>
      <c r="M312" s="164"/>
      <c r="N312" s="164"/>
      <c r="O312" s="164"/>
      <c r="P312" s="164"/>
      <c r="Q312" s="164"/>
      <c r="R312" s="164"/>
      <c r="S312" s="164"/>
      <c r="T312" s="164"/>
      <c r="U312" s="164"/>
      <c r="V312" s="164"/>
      <c r="W312" s="242"/>
      <c r="X312" s="242"/>
    </row>
    <row r="313" spans="1:24" ht="15.75">
      <c r="A313" s="273"/>
      <c r="B313" s="274"/>
      <c r="C313" s="164"/>
      <c r="D313" s="164"/>
      <c r="E313" s="164"/>
      <c r="F313" s="164"/>
      <c r="G313" s="164"/>
      <c r="H313" s="164"/>
      <c r="I313" s="164"/>
      <c r="J313" s="164"/>
      <c r="K313" s="164"/>
      <c r="L313" s="164"/>
      <c r="M313" s="164"/>
      <c r="N313" s="164"/>
      <c r="O313" s="164"/>
      <c r="P313" s="164"/>
      <c r="Q313" s="164"/>
      <c r="R313" s="164"/>
      <c r="S313" s="164"/>
      <c r="T313" s="164"/>
      <c r="U313" s="164"/>
      <c r="V313" s="164"/>
      <c r="W313" s="242"/>
      <c r="X313" s="242"/>
    </row>
    <row r="314" spans="1:24" ht="15.75">
      <c r="A314" s="273"/>
      <c r="B314" s="274"/>
      <c r="C314" s="164"/>
      <c r="D314" s="164"/>
      <c r="E314" s="164"/>
      <c r="F314" s="164"/>
      <c r="G314" s="164"/>
      <c r="H314" s="164"/>
      <c r="I314" s="164"/>
      <c r="J314" s="164"/>
      <c r="K314" s="164"/>
      <c r="L314" s="164"/>
      <c r="M314" s="164"/>
      <c r="N314" s="164"/>
      <c r="O314" s="164"/>
      <c r="P314" s="164"/>
      <c r="Q314" s="164"/>
      <c r="R314" s="164"/>
      <c r="S314" s="164"/>
      <c r="T314" s="164"/>
      <c r="U314" s="164"/>
      <c r="V314" s="164"/>
      <c r="W314" s="242"/>
      <c r="X314" s="242"/>
    </row>
    <row r="315" spans="1:24" ht="15.75">
      <c r="A315" s="273"/>
      <c r="B315" s="274"/>
      <c r="C315" s="164"/>
      <c r="D315" s="164"/>
      <c r="E315" s="164"/>
      <c r="F315" s="164"/>
      <c r="G315" s="164"/>
      <c r="H315" s="164"/>
      <c r="I315" s="164"/>
      <c r="J315" s="164"/>
      <c r="K315" s="164"/>
      <c r="L315" s="164"/>
      <c r="M315" s="164"/>
      <c r="N315" s="164"/>
      <c r="O315" s="164"/>
      <c r="P315" s="164"/>
      <c r="Q315" s="164"/>
      <c r="R315" s="164"/>
      <c r="S315" s="164"/>
      <c r="T315" s="164"/>
      <c r="U315" s="164"/>
      <c r="V315" s="164"/>
      <c r="W315" s="242"/>
      <c r="X315" s="242"/>
    </row>
    <row r="316" spans="1:24" ht="15.75">
      <c r="A316" s="273"/>
      <c r="B316" s="274"/>
      <c r="C316" s="164"/>
      <c r="D316" s="164"/>
      <c r="E316" s="164"/>
      <c r="F316" s="164"/>
      <c r="G316" s="164"/>
      <c r="H316" s="164"/>
      <c r="I316" s="164"/>
      <c r="J316" s="164"/>
      <c r="K316" s="164"/>
      <c r="L316" s="164"/>
      <c r="M316" s="164"/>
      <c r="N316" s="164"/>
      <c r="O316" s="164"/>
      <c r="P316" s="164"/>
      <c r="Q316" s="164"/>
      <c r="R316" s="164"/>
      <c r="S316" s="164"/>
      <c r="T316" s="164"/>
      <c r="U316" s="164"/>
      <c r="V316" s="164"/>
      <c r="W316" s="242"/>
      <c r="X316" s="242"/>
    </row>
    <row r="317" spans="1:24" ht="15.75">
      <c r="A317" s="273"/>
      <c r="B317" s="274"/>
      <c r="C317" s="164"/>
      <c r="D317" s="164"/>
      <c r="E317" s="164"/>
      <c r="F317" s="164"/>
      <c r="G317" s="164"/>
      <c r="H317" s="164"/>
      <c r="I317" s="164"/>
      <c r="J317" s="164"/>
      <c r="K317" s="164"/>
      <c r="L317" s="164"/>
      <c r="M317" s="164"/>
      <c r="N317" s="164"/>
      <c r="O317" s="164"/>
      <c r="P317" s="164"/>
      <c r="Q317" s="164"/>
      <c r="R317" s="164"/>
      <c r="S317" s="164"/>
      <c r="T317" s="164"/>
      <c r="U317" s="164"/>
      <c r="V317" s="164"/>
      <c r="W317" s="242"/>
      <c r="X317" s="242"/>
    </row>
    <row r="318" spans="1:24" ht="15.75">
      <c r="A318" s="273"/>
      <c r="B318" s="274"/>
      <c r="C318" s="164"/>
      <c r="D318" s="164"/>
      <c r="E318" s="164"/>
      <c r="F318" s="164"/>
      <c r="G318" s="164"/>
      <c r="H318" s="164"/>
      <c r="I318" s="164"/>
      <c r="J318" s="164"/>
      <c r="K318" s="164"/>
      <c r="L318" s="164"/>
      <c r="M318" s="164"/>
      <c r="N318" s="164"/>
      <c r="O318" s="164"/>
      <c r="P318" s="164"/>
      <c r="Q318" s="164"/>
      <c r="R318" s="164"/>
      <c r="S318" s="164"/>
      <c r="T318" s="164"/>
      <c r="U318" s="164"/>
      <c r="V318" s="164"/>
      <c r="W318" s="242"/>
      <c r="X318" s="242"/>
    </row>
    <row r="319" spans="1:24" ht="15.75">
      <c r="A319" s="273"/>
      <c r="B319" s="274"/>
      <c r="C319" s="164"/>
      <c r="D319" s="164"/>
      <c r="E319" s="164"/>
      <c r="F319" s="164"/>
      <c r="G319" s="164"/>
      <c r="H319" s="164"/>
      <c r="I319" s="164"/>
      <c r="J319" s="164"/>
      <c r="K319" s="164"/>
      <c r="L319" s="164"/>
      <c r="M319" s="164"/>
      <c r="N319" s="164"/>
      <c r="O319" s="164"/>
      <c r="P319" s="164"/>
      <c r="Q319" s="164"/>
      <c r="R319" s="164"/>
      <c r="S319" s="164"/>
      <c r="T319" s="164"/>
      <c r="U319" s="164"/>
      <c r="V319" s="164"/>
      <c r="W319" s="242"/>
      <c r="X319" s="242"/>
    </row>
    <row r="320" spans="1:24" ht="15.75">
      <c r="A320" s="273"/>
      <c r="B320" s="274"/>
      <c r="C320" s="164"/>
      <c r="D320" s="164"/>
      <c r="E320" s="164"/>
      <c r="F320" s="164"/>
      <c r="G320" s="164"/>
      <c r="H320" s="164"/>
      <c r="I320" s="164"/>
      <c r="J320" s="164"/>
      <c r="K320" s="164"/>
      <c r="L320" s="164"/>
      <c r="M320" s="164"/>
      <c r="N320" s="164"/>
      <c r="O320" s="164"/>
      <c r="P320" s="164"/>
      <c r="Q320" s="164"/>
      <c r="R320" s="164"/>
      <c r="S320" s="164"/>
      <c r="T320" s="164"/>
      <c r="U320" s="164"/>
      <c r="V320" s="164"/>
      <c r="W320" s="242"/>
      <c r="X320" s="242"/>
    </row>
    <row r="321" spans="1:24" ht="15.75">
      <c r="A321" s="273"/>
      <c r="B321" s="274"/>
      <c r="C321" s="164"/>
      <c r="D321" s="164"/>
      <c r="E321" s="164"/>
      <c r="F321" s="164"/>
      <c r="G321" s="164"/>
      <c r="H321" s="164"/>
      <c r="I321" s="164"/>
      <c r="J321" s="164"/>
      <c r="K321" s="164"/>
      <c r="L321" s="164"/>
      <c r="M321" s="164"/>
      <c r="N321" s="164"/>
      <c r="O321" s="164"/>
      <c r="P321" s="164"/>
      <c r="Q321" s="164"/>
      <c r="R321" s="164"/>
      <c r="S321" s="164"/>
      <c r="T321" s="164"/>
      <c r="U321" s="164"/>
      <c r="V321" s="164"/>
      <c r="W321" s="242"/>
      <c r="X321" s="242"/>
    </row>
    <row r="322" spans="1:24" ht="15.75">
      <c r="A322" s="273"/>
      <c r="B322" s="274"/>
      <c r="C322" s="164"/>
      <c r="D322" s="164"/>
      <c r="E322" s="164"/>
      <c r="F322" s="164"/>
      <c r="G322" s="164"/>
      <c r="H322" s="164"/>
      <c r="I322" s="164"/>
      <c r="J322" s="164"/>
      <c r="K322" s="164"/>
      <c r="L322" s="164"/>
      <c r="M322" s="164"/>
      <c r="N322" s="164"/>
      <c r="O322" s="164"/>
      <c r="P322" s="164"/>
      <c r="Q322" s="164"/>
      <c r="R322" s="164"/>
      <c r="S322" s="164"/>
      <c r="T322" s="164"/>
      <c r="U322" s="164"/>
      <c r="V322" s="164"/>
      <c r="W322" s="242"/>
      <c r="X322" s="242"/>
    </row>
    <row r="323" spans="1:24" ht="15.75">
      <c r="A323" s="273"/>
      <c r="B323" s="274"/>
      <c r="C323" s="164"/>
      <c r="D323" s="164"/>
      <c r="E323" s="164"/>
      <c r="F323" s="164"/>
      <c r="G323" s="164"/>
      <c r="H323" s="164"/>
      <c r="I323" s="164"/>
      <c r="J323" s="164"/>
      <c r="K323" s="164"/>
      <c r="L323" s="164"/>
      <c r="M323" s="164"/>
      <c r="N323" s="164"/>
      <c r="O323" s="164"/>
      <c r="P323" s="164"/>
      <c r="Q323" s="164"/>
      <c r="R323" s="164"/>
      <c r="S323" s="164"/>
      <c r="T323" s="164"/>
      <c r="U323" s="164"/>
      <c r="V323" s="164"/>
      <c r="W323" s="242"/>
      <c r="X323" s="242"/>
    </row>
  </sheetData>
  <sheetProtection/>
  <dataValidations count="6">
    <dataValidation type="list" allowBlank="1" showInputMessage="1" showErrorMessage="1" sqref="H3:I3 H6:I7">
      <formula1>AREA</formula1>
    </dataValidation>
    <dataValidation type="list" allowBlank="1" showInputMessage="1" showErrorMessage="1" sqref="A11 A14 A17 A20 A23 A26 A29 A32 A35 A38 A41 A44 A47 A50 A53 A56 A59 A62 A65 A68 A71 A74 A77 A80 A83 A86 A89 A92 A95 A98 A101 A104 A107 A110 A113 A116 A119 A122 A125 A128 A131 A134 A137 A140 A143 A146 A149 A152 A155 A158">
      <formula1>Yes</formula1>
    </dataValidation>
    <dataValidation type="list" allowBlank="1" showInputMessage="1" showErrorMessage="1" sqref="J11 H11 N11 P11 S11 L11 F11 J14 J17 J20 J23 J26 J29 J32 J35 J38 J41 J44 J47 J50 J53 J56 J59 J62 J65 J68 J71 J74 J77 J80 J83 J86 J89 J92 J95 J98 J101 J104 J107 J110 J113 J116 J119 J122 J125 J128 J131 J134 J137 J140 J143 J146 J149 J152 J155 J158 H14 H17 H20 H23 H26 H29 H32 H35 H38 H41 H44 H47 H50 H53 H56 H59 H62 H65 H68 H71 H74 H77 H80 H83 H86 H89 H92 H95 H98 H101 H104 H107 H110 H113 H116 H119 H122 H125 H128 H131 H134 H137 H140 H143">
      <formula1>speed2</formula1>
    </dataValidation>
    <dataValidation type="list" allowBlank="1" showInputMessage="1" showErrorMessage="1" sqref="H146 H149 H152 H155 H158 N14 N17 N20 N23 N26 N29 N32 N35 N38 N41 N44 N47 N50 N53 N56 N59 N62 N65 N68 N71 N74 N77 N80 N83 N86 N89 N92 N95 N98 N101 N104 N107 N110 N113 N116 N119 N122 N125 N128 N131 N134 N137 N140 N143 N146 N149 N152 N155 N158 P14 P17 P20 P23 P26 P29 P32 P35 P38 P41 P44 P47 P50 P53 P56 P59 P62 P65 P68 P71 P74 P77 P80 P83 P86 P89 P92 P95 P98 P101 P104 P107 P110 P113 P116 P119 P122 P125 P128 P131 P134 P137 P140 P143 P146 P149">
      <formula1>speed2</formula1>
    </dataValidation>
    <dataValidation type="list" allowBlank="1" showInputMessage="1" showErrorMessage="1" sqref="P152 P155 P158 S14 S17 S20 S23 S26 S29 S32 S35 S38 S41 S44 S47 S50 S53 S56 S59 S62 S65 S68 S71 S74 S77 S80 S83 S86 S89 S92 S95 S98 S101 S104 S107 S110 S113 S116 S119 S122 S125 S128 S131 S134 S137 S140 S143 S146 S149 S152 S155 S158 L14 L17 L20 L23 L26 L29 L32 L35 L38 L41 L44 L47 L50 L53 L56 L59 L62 L65 L68 L71 L74 L77 L80 L83 L86 L89 L92 L95 L98 L101 L104 L107 L110 L113 L116 L119 L122 L125 L128 L131 L134 L137 L140 L143 L146 L149 L152 L155">
      <formula1>speed2</formula1>
    </dataValidation>
    <dataValidation type="list" allowBlank="1" showInputMessage="1" showErrorMessage="1" sqref="L158 F14 F17 F20 F23 F26 F29 F32 F35 F38 F41 F44 F47 F50 F53 F56 F59 F62 F65 F68 F71 F74 F77 F80 F83 F86 F89 F92 F95 F98 F101 F104 F107 F110 F113 F116 F119 F122 F125 F128 F131 F134 F137 F140 F143 F146 F149 F152 F155 F158">
      <formula1>speed2</formula1>
    </dataValidation>
  </dataValidations>
  <hyperlinks>
    <hyperlink ref="A9" location="Instructions!A79" display="Instructions!A79"/>
    <hyperlink ref="B9" location="Instructions!A80" display="Instructions!A80"/>
    <hyperlink ref="C9" location="Instructions!A81" display="Instructions!A81"/>
    <hyperlink ref="D9" location="Instructions!A82" display="Instructions!A82"/>
    <hyperlink ref="E9" location="Instructions!A83" display="Instructions!A83"/>
    <hyperlink ref="F9" location="Instructions!A84" display="Instructions!A84"/>
    <hyperlink ref="H9" location="Instructions!A85" display="Instructions!A85"/>
    <hyperlink ref="J9" location="Instructions!A86" display="Instructions!A86"/>
    <hyperlink ref="L9" location="Instructions!A87" display="Instructions!A87"/>
    <hyperlink ref="N9" location="Instructions!A88" display="Instructions!A88"/>
    <hyperlink ref="P9" location="Instructions!A89" display="Instructions!A89"/>
    <hyperlink ref="R9" location="Instructions!A90" display="Instructions!A90"/>
    <hyperlink ref="S9" location="Instructions!A91" display="Instructions!A91"/>
    <hyperlink ref="U9" location="Instructions!A92" display="Instructions!A92"/>
    <hyperlink ref="V9" location="Instructions!A93" display="Instructions!A93"/>
    <hyperlink ref="W9" location="Instructions!A94" display="Instructions!A94"/>
    <hyperlink ref="E8" location="Instructions!A95" display="Instructions!A95"/>
    <hyperlink ref="X8" location="Instructions!A96" display="Instructions!A96"/>
  </hyperlinks>
  <printOptions gridLines="1" headings="1"/>
  <pageMargins left="0.2" right="0.21" top="1" bottom="1" header="0.5" footer="0.5"/>
  <pageSetup horizontalDpi="600" verticalDpi="600" orientation="landscape" paperSize="9" scale="50" r:id="rId2"/>
  <legacyDrawing r:id="rId1"/>
</worksheet>
</file>

<file path=xl/worksheets/sheet7.xml><?xml version="1.0" encoding="utf-8"?>
<worksheet xmlns="http://schemas.openxmlformats.org/spreadsheetml/2006/main" xmlns:r="http://schemas.openxmlformats.org/officeDocument/2006/relationships">
  <sheetPr codeName="Sheet7">
    <tabColor indexed="10"/>
  </sheetPr>
  <dimension ref="A1:J26"/>
  <sheetViews>
    <sheetView showGridLines="0" zoomScale="75" zoomScaleNormal="75" zoomScalePageLayoutView="0" workbookViewId="0" topLeftCell="A1">
      <selection activeCell="H26" sqref="H26"/>
    </sheetView>
  </sheetViews>
  <sheetFormatPr defaultColWidth="9.140625" defaultRowHeight="15"/>
  <cols>
    <col min="1" max="1" width="9.140625" style="530" customWidth="1"/>
    <col min="2" max="2" width="37.8515625" style="445" bestFit="1" customWidth="1"/>
    <col min="3" max="3" width="19.28125" style="445" customWidth="1"/>
    <col min="4" max="6" width="9.140625" style="445" customWidth="1"/>
    <col min="7" max="7" width="15.140625" style="445" customWidth="1"/>
    <col min="8" max="8" width="17.140625" style="445" bestFit="1" customWidth="1"/>
    <col min="9" max="16384" width="9.140625" style="445" customWidth="1"/>
  </cols>
  <sheetData>
    <row r="1" spans="1:2" ht="28.5">
      <c r="A1" s="351">
        <v>65</v>
      </c>
      <c r="B1" s="287" t="s">
        <v>481</v>
      </c>
    </row>
    <row r="2" spans="1:2" ht="23.25">
      <c r="A2" s="508"/>
      <c r="B2" s="507"/>
    </row>
    <row r="3" spans="1:3" s="505" customFormat="1" ht="18.75">
      <c r="A3" s="504"/>
      <c r="B3" s="538" t="s">
        <v>10</v>
      </c>
      <c r="C3" s="539" t="str">
        <f>'Start Page'!$G$3</f>
        <v>PTE </v>
      </c>
    </row>
    <row r="4" spans="1:3" s="505" customFormat="1" ht="18.75">
      <c r="A4" s="506"/>
      <c r="B4" s="538" t="s">
        <v>27</v>
      </c>
      <c r="C4" s="539" t="str">
        <f>'Start Page'!$G$4</f>
        <v>2012/13</v>
      </c>
    </row>
    <row r="6" s="440" customFormat="1" ht="15"/>
    <row r="7" s="440" customFormat="1" ht="15.75" thickBot="1"/>
    <row r="8" spans="1:8" s="443" customFormat="1" ht="19.5" thickBot="1">
      <c r="A8" s="508"/>
      <c r="B8" s="444" t="s">
        <v>449</v>
      </c>
      <c r="C8" s="509"/>
      <c r="D8" s="509"/>
      <c r="E8" s="509"/>
      <c r="F8" s="509"/>
      <c r="G8" s="509"/>
      <c r="H8" s="510"/>
    </row>
    <row r="9" spans="1:8" s="443" customFormat="1" ht="16.5" thickBot="1">
      <c r="A9" s="147"/>
      <c r="B9" s="448"/>
      <c r="C9" s="511"/>
      <c r="D9" s="511"/>
      <c r="E9" s="511"/>
      <c r="F9" s="511"/>
      <c r="G9" s="511"/>
      <c r="H9" s="512"/>
    </row>
    <row r="10" spans="1:8" s="443" customFormat="1" ht="16.5" thickBot="1">
      <c r="A10" s="351">
        <v>66</v>
      </c>
      <c r="B10" s="513"/>
      <c r="C10" s="514" t="s">
        <v>484</v>
      </c>
      <c r="D10" s="514"/>
      <c r="E10" s="514"/>
      <c r="F10" s="514"/>
      <c r="G10" s="515"/>
      <c r="H10" s="516">
        <f>'Start Page'!$G$6</f>
        <v>1000</v>
      </c>
    </row>
    <row r="11" spans="1:8" s="443" customFormat="1" ht="16.5" thickBot="1">
      <c r="A11" s="351">
        <v>67</v>
      </c>
      <c r="B11" s="446"/>
      <c r="C11" s="509" t="s">
        <v>444</v>
      </c>
      <c r="D11" s="509"/>
      <c r="E11" s="509"/>
      <c r="F11" s="509"/>
      <c r="G11" s="517"/>
      <c r="H11" s="532">
        <f>'AF model'!$C$10</f>
        <v>1.5163681375304474</v>
      </c>
    </row>
    <row r="12" spans="1:8" s="443" customFormat="1" ht="16.5" thickBot="1">
      <c r="A12" s="351">
        <v>68</v>
      </c>
      <c r="B12" s="447"/>
      <c r="C12" s="518" t="s">
        <v>445</v>
      </c>
      <c r="D12" s="518"/>
      <c r="E12" s="518"/>
      <c r="F12" s="518"/>
      <c r="G12" s="519"/>
      <c r="H12" s="520">
        <f>'RF model'!$C$14</f>
        <v>0.5646362648298121</v>
      </c>
    </row>
    <row r="13" spans="1:8" ht="19.5" thickBot="1">
      <c r="A13" s="351">
        <v>69</v>
      </c>
      <c r="B13" s="447"/>
      <c r="C13" s="521" t="s">
        <v>446</v>
      </c>
      <c r="D13" s="521"/>
      <c r="E13" s="521"/>
      <c r="F13" s="521"/>
      <c r="G13" s="522"/>
      <c r="H13" s="523">
        <f>$H$12*$H$11*$H$10</f>
        <v>856.1964412821306</v>
      </c>
    </row>
    <row r="14" spans="1:8" s="443" customFormat="1" ht="16.5" thickBot="1">
      <c r="A14" s="465"/>
      <c r="B14" s="448"/>
      <c r="C14" s="511"/>
      <c r="D14" s="511"/>
      <c r="E14" s="511"/>
      <c r="F14" s="511"/>
      <c r="G14" s="511"/>
      <c r="H14" s="512"/>
    </row>
    <row r="15" spans="1:8" s="443" customFormat="1" ht="19.5" thickBot="1">
      <c r="A15" s="147"/>
      <c r="B15" s="444" t="s">
        <v>21</v>
      </c>
      <c r="C15" s="524"/>
      <c r="D15" s="509"/>
      <c r="E15" s="509"/>
      <c r="F15" s="509"/>
      <c r="G15" s="509"/>
      <c r="H15" s="510"/>
    </row>
    <row r="16" spans="1:8" s="443" customFormat="1" ht="16.5" thickBot="1">
      <c r="A16" s="147"/>
      <c r="B16" s="448"/>
      <c r="C16" s="525"/>
      <c r="D16" s="511"/>
      <c r="E16" s="511"/>
      <c r="F16" s="511"/>
      <c r="G16" s="511"/>
      <c r="H16" s="512"/>
    </row>
    <row r="17" spans="1:8" s="443" customFormat="1" ht="16.5" thickBot="1">
      <c r="A17" s="351">
        <v>70</v>
      </c>
      <c r="B17" s="513"/>
      <c r="C17" s="514" t="s">
        <v>443</v>
      </c>
      <c r="D17" s="514"/>
      <c r="E17" s="514"/>
      <c r="F17" s="514"/>
      <c r="G17" s="514"/>
      <c r="H17" s="526">
        <f>(1-$H$12)</f>
        <v>0.4353637351701879</v>
      </c>
    </row>
    <row r="18" spans="1:8" s="443" customFormat="1" ht="16.5" thickBot="1">
      <c r="A18" s="351">
        <v>71</v>
      </c>
      <c r="B18" s="513"/>
      <c r="C18" s="514" t="s">
        <v>435</v>
      </c>
      <c r="D18" s="514"/>
      <c r="E18" s="514"/>
      <c r="F18" s="514"/>
      <c r="G18" s="514"/>
      <c r="H18" s="537">
        <f>'AC model'!D18</f>
        <v>0.06750308370044053</v>
      </c>
    </row>
    <row r="19" spans="1:8" s="443" customFormat="1" ht="16.5" thickBot="1">
      <c r="A19" s="351">
        <v>72</v>
      </c>
      <c r="B19" s="513"/>
      <c r="C19" s="514" t="s">
        <v>447</v>
      </c>
      <c r="D19" s="514"/>
      <c r="E19" s="514"/>
      <c r="F19" s="514"/>
      <c r="G19" s="514"/>
      <c r="H19" s="531">
        <f>H10*H17*H18</f>
        <v>29.38839465532962</v>
      </c>
    </row>
    <row r="20" spans="1:8" s="443" customFormat="1" ht="16.5" thickBot="1">
      <c r="A20" s="351">
        <v>73</v>
      </c>
      <c r="B20" s="513"/>
      <c r="C20" s="514" t="s">
        <v>453</v>
      </c>
      <c r="D20" s="514"/>
      <c r="E20" s="514"/>
      <c r="F20" s="514"/>
      <c r="G20" s="514"/>
      <c r="H20" s="540">
        <f>'AC model'!D9</f>
        <v>0</v>
      </c>
    </row>
    <row r="21" spans="1:8" s="443" customFormat="1" ht="16.5" thickBot="1">
      <c r="A21" s="351">
        <v>74</v>
      </c>
      <c r="B21" s="446"/>
      <c r="C21" s="509" t="s">
        <v>448</v>
      </c>
      <c r="D21" s="509"/>
      <c r="E21" s="509"/>
      <c r="F21" s="509"/>
      <c r="G21" s="509"/>
      <c r="H21" s="540">
        <f>'MCC Model '!$W$8</f>
        <v>0</v>
      </c>
    </row>
    <row r="22" spans="1:8" ht="16.5" thickBot="1">
      <c r="A22" s="351">
        <v>75</v>
      </c>
      <c r="B22" s="447"/>
      <c r="C22" s="518" t="s">
        <v>330</v>
      </c>
      <c r="D22" s="518"/>
      <c r="E22" s="518"/>
      <c r="F22" s="518"/>
      <c r="G22" s="518"/>
      <c r="H22" s="541">
        <f>'AC model'!$D$29</f>
        <v>0</v>
      </c>
    </row>
    <row r="23" spans="1:8" ht="19.5" thickBot="1">
      <c r="A23" s="351">
        <v>76</v>
      </c>
      <c r="B23" s="527"/>
      <c r="C23" s="521" t="s">
        <v>78</v>
      </c>
      <c r="D23" s="521"/>
      <c r="E23" s="521"/>
      <c r="F23" s="521"/>
      <c r="G23" s="521"/>
      <c r="H23" s="528">
        <f>H19+H20+H21+H22</f>
        <v>29.38839465532962</v>
      </c>
    </row>
    <row r="24" spans="1:8" s="443" customFormat="1" ht="15.75">
      <c r="A24" s="465"/>
      <c r="B24" s="529"/>
      <c r="C24" s="511"/>
      <c r="D24" s="511"/>
      <c r="E24" s="511"/>
      <c r="F24" s="511"/>
      <c r="G24" s="511"/>
      <c r="H24" s="512"/>
    </row>
    <row r="25" spans="1:8" s="443" customFormat="1" ht="16.5" thickBot="1">
      <c r="A25" s="147"/>
      <c r="B25" s="448"/>
      <c r="C25" s="511"/>
      <c r="D25" s="511"/>
      <c r="E25" s="511"/>
      <c r="F25" s="511"/>
      <c r="G25" s="511"/>
      <c r="H25" s="512"/>
    </row>
    <row r="26" spans="1:10" ht="21.75" thickBot="1">
      <c r="A26" s="351">
        <v>77</v>
      </c>
      <c r="B26" s="533" t="s">
        <v>52</v>
      </c>
      <c r="C26" s="534"/>
      <c r="D26" s="534"/>
      <c r="E26" s="534"/>
      <c r="F26" s="534"/>
      <c r="G26" s="535"/>
      <c r="H26" s="536">
        <f>$H$23+$H$13</f>
        <v>885.5848359374603</v>
      </c>
      <c r="J26" s="898"/>
    </row>
  </sheetData>
  <sheetProtection/>
  <hyperlinks>
    <hyperlink ref="A1" location="Instructions!A98" display="Instructions!A98"/>
    <hyperlink ref="A10" location="Instructions!A99" display="Instructions!A99"/>
    <hyperlink ref="A11" location="Instructions!A100" display="Instructions!A100"/>
    <hyperlink ref="A12" location="Instructions!A101" display="Instructions!A101"/>
    <hyperlink ref="A13" location="Instructions!A102" display="Instructions!A102"/>
    <hyperlink ref="A21" location="Instructions!A107" display="Instructions!A107"/>
    <hyperlink ref="A22" location="Instructions!A108" display="Instructions!A108"/>
    <hyperlink ref="A23" location="Instructions!A109" display="Instructions!A109"/>
    <hyperlink ref="A26" location="Instructions!A110" display="Instructions!A110"/>
    <hyperlink ref="A17" location="Instructions!A103" display="Instructions!A103"/>
    <hyperlink ref="A18" location="Instructions!A104" display="Instructions!A104"/>
    <hyperlink ref="A19" location="Instructions!A105" display="Instructions!A105"/>
    <hyperlink ref="A20" location="Instructions!A106" display="Instructions!A106"/>
  </hyperlinks>
  <printOptions gridLines="1" headings="1"/>
  <pageMargins left="0.75" right="0.75" top="1" bottom="1" header="0.5" footer="0.5"/>
  <pageSetup horizontalDpi="600" verticalDpi="600" orientation="landscape" paperSize="9" scale="55" r:id="rId2"/>
  <legacyDrawing r:id="rId1"/>
</worksheet>
</file>

<file path=xl/worksheets/sheet8.xml><?xml version="1.0" encoding="utf-8"?>
<worksheet xmlns="http://schemas.openxmlformats.org/spreadsheetml/2006/main" xmlns:r="http://schemas.openxmlformats.org/officeDocument/2006/relationships">
  <sheetPr codeName="Sheet13">
    <tabColor indexed="12"/>
  </sheetPr>
  <dimension ref="B1:O25"/>
  <sheetViews>
    <sheetView showGridLines="0" zoomScale="110" zoomScaleNormal="110" zoomScalePageLayoutView="0" workbookViewId="0" topLeftCell="A1">
      <selection activeCell="L16" sqref="L16"/>
    </sheetView>
  </sheetViews>
  <sheetFormatPr defaultColWidth="9.140625" defaultRowHeight="15"/>
  <cols>
    <col min="3" max="3" width="17.57421875" style="0" bestFit="1" customWidth="1"/>
    <col min="4" max="4" width="18.00390625" style="0" customWidth="1"/>
    <col min="7" max="7" width="16.28125" style="0" bestFit="1" customWidth="1"/>
    <col min="8" max="8" width="12.7109375" style="0" bestFit="1" customWidth="1"/>
    <col min="9" max="9" width="14.7109375" style="0" bestFit="1" customWidth="1"/>
  </cols>
  <sheetData>
    <row r="1" spans="2:15" ht="15.75" thickBot="1">
      <c r="B1" t="s">
        <v>344</v>
      </c>
      <c r="F1" t="s">
        <v>349</v>
      </c>
      <c r="K1" s="725" t="s">
        <v>351</v>
      </c>
      <c r="L1" s="725" t="s">
        <v>352</v>
      </c>
      <c r="M1" s="725"/>
      <c r="N1" s="725"/>
      <c r="O1" s="725"/>
    </row>
    <row r="2" spans="2:15" ht="15.75" thickBot="1">
      <c r="B2" s="736" t="s">
        <v>62</v>
      </c>
      <c r="C2" s="737" t="s">
        <v>308</v>
      </c>
      <c r="F2" s="736" t="s">
        <v>62</v>
      </c>
      <c r="G2" s="746" t="s">
        <v>483</v>
      </c>
      <c r="H2" s="746" t="s">
        <v>353</v>
      </c>
      <c r="I2" s="737" t="s">
        <v>343</v>
      </c>
      <c r="K2" s="725" t="s">
        <v>62</v>
      </c>
      <c r="L2" s="725" t="s">
        <v>350</v>
      </c>
      <c r="M2" s="725" t="s">
        <v>341</v>
      </c>
      <c r="N2" s="725"/>
      <c r="O2" s="725"/>
    </row>
    <row r="3" spans="2:15" ht="15">
      <c r="B3" s="740" t="s">
        <v>4</v>
      </c>
      <c r="C3" s="741">
        <v>101.1</v>
      </c>
      <c r="F3" s="749" t="s">
        <v>4</v>
      </c>
      <c r="G3" s="750">
        <v>101.1</v>
      </c>
      <c r="H3" s="750"/>
      <c r="I3" s="751">
        <v>101.1</v>
      </c>
      <c r="K3" s="726" t="s">
        <v>4</v>
      </c>
      <c r="L3" s="930">
        <v>101.1</v>
      </c>
      <c r="M3" s="725"/>
      <c r="N3" s="725"/>
      <c r="O3" s="725"/>
    </row>
    <row r="4" spans="2:15" ht="15">
      <c r="B4" s="742" t="s">
        <v>5</v>
      </c>
      <c r="C4" s="743">
        <v>104.2</v>
      </c>
      <c r="F4" s="744" t="s">
        <v>5</v>
      </c>
      <c r="G4" s="752">
        <v>104.2</v>
      </c>
      <c r="H4" s="752"/>
      <c r="I4" s="753">
        <v>104.2</v>
      </c>
      <c r="K4" s="727" t="s">
        <v>5</v>
      </c>
      <c r="L4" s="931">
        <v>104.2</v>
      </c>
      <c r="M4" s="725"/>
      <c r="N4" s="725"/>
      <c r="O4" s="725"/>
    </row>
    <row r="5" spans="2:15" ht="15">
      <c r="B5" s="742" t="s">
        <v>6</v>
      </c>
      <c r="C5" s="743">
        <v>106.7</v>
      </c>
      <c r="F5" s="744" t="s">
        <v>6</v>
      </c>
      <c r="G5" s="752">
        <v>106.7</v>
      </c>
      <c r="H5" s="752"/>
      <c r="I5" s="753">
        <v>106.7</v>
      </c>
      <c r="K5" s="727" t="s">
        <v>6</v>
      </c>
      <c r="L5" s="931">
        <v>106.7</v>
      </c>
      <c r="M5" s="725"/>
      <c r="N5" s="725"/>
      <c r="O5" s="725"/>
    </row>
    <row r="6" spans="2:15" ht="15">
      <c r="B6" s="742" t="s">
        <v>7</v>
      </c>
      <c r="C6" s="743">
        <v>109.8</v>
      </c>
      <c r="F6" s="744" t="s">
        <v>7</v>
      </c>
      <c r="G6" s="752">
        <v>109.8</v>
      </c>
      <c r="H6" s="752"/>
      <c r="I6" s="753">
        <v>109.8</v>
      </c>
      <c r="K6" s="727" t="s">
        <v>7</v>
      </c>
      <c r="L6" s="931">
        <v>109.8</v>
      </c>
      <c r="M6" s="725"/>
      <c r="N6" s="725"/>
      <c r="O6" s="725"/>
    </row>
    <row r="7" spans="2:15" ht="15">
      <c r="B7" s="742" t="s">
        <v>8</v>
      </c>
      <c r="C7" s="743">
        <v>113.5</v>
      </c>
      <c r="F7" s="744" t="s">
        <v>8</v>
      </c>
      <c r="G7" s="752">
        <v>113.5</v>
      </c>
      <c r="H7" s="752"/>
      <c r="I7" s="753">
        <v>113.5</v>
      </c>
      <c r="K7" s="727" t="s">
        <v>8</v>
      </c>
      <c r="L7" s="931">
        <v>113.5</v>
      </c>
      <c r="M7" s="725"/>
      <c r="N7" s="725"/>
      <c r="O7" s="725"/>
    </row>
    <row r="8" spans="2:15" ht="15">
      <c r="B8" s="742" t="s">
        <v>9</v>
      </c>
      <c r="C8" s="743">
        <v>118.1</v>
      </c>
      <c r="D8" t="s">
        <v>355</v>
      </c>
      <c r="F8" s="744" t="s">
        <v>9</v>
      </c>
      <c r="G8" s="752">
        <v>118.1</v>
      </c>
      <c r="H8" s="752"/>
      <c r="I8" s="753">
        <v>118.1</v>
      </c>
      <c r="K8" s="726" t="s">
        <v>9</v>
      </c>
      <c r="L8" s="931">
        <v>118.1</v>
      </c>
      <c r="M8" s="725"/>
      <c r="N8" s="725">
        <v>100</v>
      </c>
      <c r="O8" s="725"/>
    </row>
    <row r="9" spans="2:15" ht="15.75" thickBot="1">
      <c r="B9" s="742" t="s">
        <v>13</v>
      </c>
      <c r="C9" s="743">
        <v>122.2</v>
      </c>
      <c r="F9" s="744" t="s">
        <v>13</v>
      </c>
      <c r="G9" s="752">
        <v>122.2</v>
      </c>
      <c r="H9" s="915"/>
      <c r="I9" s="916">
        <f>'Update Inflation'!C9</f>
        <v>122.2</v>
      </c>
      <c r="K9" s="727" t="s">
        <v>13</v>
      </c>
      <c r="L9" s="932">
        <v>122.2</v>
      </c>
      <c r="M9" s="728"/>
      <c r="N9" s="729">
        <f>N8*(1+M9)</f>
        <v>100</v>
      </c>
      <c r="O9" s="730"/>
    </row>
    <row r="10" spans="2:15" ht="15">
      <c r="B10" s="742" t="s">
        <v>14</v>
      </c>
      <c r="C10" s="926">
        <v>125.6</v>
      </c>
      <c r="F10" s="923" t="s">
        <v>14</v>
      </c>
      <c r="G10" s="922">
        <v>125.6</v>
      </c>
      <c r="H10" s="915"/>
      <c r="I10" s="924">
        <f>'Update Inflation'!C10</f>
        <v>125.6</v>
      </c>
      <c r="K10" s="727" t="s">
        <v>14</v>
      </c>
      <c r="L10" s="921">
        <v>125.6</v>
      </c>
      <c r="M10" s="728"/>
      <c r="N10" s="729">
        <f>N9*(1+M10)</f>
        <v>100</v>
      </c>
      <c r="O10" s="730"/>
    </row>
    <row r="11" spans="2:15" ht="15">
      <c r="B11" s="744" t="s">
        <v>15</v>
      </c>
      <c r="C11" s="917">
        <f>(C10*H11)+C10</f>
        <v>128.4888</v>
      </c>
      <c r="F11" s="738" t="s">
        <v>15</v>
      </c>
      <c r="G11" s="747"/>
      <c r="H11" s="732">
        <v>0.023</v>
      </c>
      <c r="I11" s="760">
        <f>'Update Inflation'!C11</f>
        <v>128.4888</v>
      </c>
      <c r="K11" s="727" t="s">
        <v>15</v>
      </c>
      <c r="L11" s="725"/>
      <c r="M11" s="728"/>
      <c r="N11" s="729">
        <f>N10*(1+M11)</f>
        <v>100</v>
      </c>
      <c r="O11" s="730"/>
    </row>
    <row r="12" spans="2:15" ht="15">
      <c r="B12" s="744" t="s">
        <v>335</v>
      </c>
      <c r="C12" s="917">
        <f>(C11*H12)+C11</f>
        <v>130.9300872</v>
      </c>
      <c r="F12" s="738" t="s">
        <v>335</v>
      </c>
      <c r="G12" s="747"/>
      <c r="H12" s="732">
        <v>0.019</v>
      </c>
      <c r="I12" s="760">
        <f>'Update Inflation'!C12</f>
        <v>130.9300872</v>
      </c>
      <c r="K12" s="731" t="s">
        <v>335</v>
      </c>
      <c r="L12" s="725"/>
      <c r="M12" s="728"/>
      <c r="N12" s="729">
        <f>N11*(1+M12)</f>
        <v>100</v>
      </c>
      <c r="O12" s="730"/>
    </row>
    <row r="13" spans="2:15" ht="15.75" thickBot="1">
      <c r="B13" s="745" t="s">
        <v>336</v>
      </c>
      <c r="C13" s="918">
        <f>(C12*H13)+C12</f>
        <v>133.2868287696</v>
      </c>
      <c r="D13" s="724" t="s">
        <v>348</v>
      </c>
      <c r="F13" s="739" t="s">
        <v>336</v>
      </c>
      <c r="G13" s="748"/>
      <c r="H13" s="733">
        <v>0.018</v>
      </c>
      <c r="I13" s="761">
        <f>'Update Inflation'!C13</f>
        <v>133.2868287696</v>
      </c>
      <c r="K13" s="731" t="s">
        <v>336</v>
      </c>
      <c r="L13" s="725"/>
      <c r="M13" s="728"/>
      <c r="N13" s="729">
        <f>N12*(1+M13)</f>
        <v>100</v>
      </c>
      <c r="O13" s="730"/>
    </row>
    <row r="14" spans="2:6" ht="18.75">
      <c r="B14" s="838" t="s">
        <v>389</v>
      </c>
      <c r="C14" s="836"/>
      <c r="D14" s="836"/>
      <c r="E14" s="835"/>
      <c r="F14" s="351">
        <v>78</v>
      </c>
    </row>
    <row r="15" spans="2:9" ht="36.75" customHeight="1">
      <c r="B15" s="961" t="s">
        <v>388</v>
      </c>
      <c r="C15" s="961"/>
      <c r="D15" s="961"/>
      <c r="E15" s="961"/>
      <c r="F15" s="961"/>
      <c r="G15" s="961"/>
      <c r="H15" s="961"/>
      <c r="I15" s="961"/>
    </row>
    <row r="16" spans="2:9" ht="31.5" customHeight="1">
      <c r="B16" s="961" t="s">
        <v>18</v>
      </c>
      <c r="C16" s="961"/>
      <c r="D16" s="961"/>
      <c r="E16" s="961"/>
      <c r="F16" s="961"/>
      <c r="G16" s="961"/>
      <c r="H16" s="961"/>
      <c r="I16" s="961"/>
    </row>
    <row r="18" spans="3:4" ht="15.75" thickBot="1">
      <c r="C18" s="351">
        <v>79</v>
      </c>
      <c r="D18" s="351">
        <v>80</v>
      </c>
    </row>
    <row r="19" spans="2:6" ht="15.75" thickBot="1">
      <c r="B19" s="928" t="s">
        <v>62</v>
      </c>
      <c r="C19" s="928" t="s">
        <v>347</v>
      </c>
      <c r="D19" s="928" t="s">
        <v>341</v>
      </c>
      <c r="F19" s="754" t="s">
        <v>19</v>
      </c>
    </row>
    <row r="20" spans="2:5" ht="15.75" hidden="1" thickBot="1">
      <c r="B20" s="756" t="s">
        <v>13</v>
      </c>
      <c r="C20" s="755">
        <v>122.2</v>
      </c>
      <c r="D20" s="828"/>
      <c r="E20" s="754">
        <f>IF(AND(C20&lt;&gt;"",D20&lt;&gt;""),"DO NOT ENTER BOTH CPI AND GDP DEFLATORS","")</f>
      </c>
    </row>
    <row r="21" spans="2:14" ht="15.75" hidden="1">
      <c r="B21" s="756" t="s">
        <v>14</v>
      </c>
      <c r="C21" s="925">
        <v>125.6</v>
      </c>
      <c r="D21" s="920"/>
      <c r="E21" s="754">
        <f>IF(AND(C21&lt;&gt;"",D21&lt;&gt;""),"DO NOT ENTER BOTH CPI AND GDP DEFLATORS","")</f>
      </c>
      <c r="F21" s="833"/>
      <c r="G21" s="834"/>
      <c r="H21" s="834"/>
      <c r="I21" s="832"/>
      <c r="J21" s="835"/>
      <c r="K21" s="835"/>
      <c r="L21" s="835"/>
      <c r="M21" s="835"/>
      <c r="N21" s="835"/>
    </row>
    <row r="22" spans="2:5" ht="15">
      <c r="B22" s="757" t="s">
        <v>15</v>
      </c>
      <c r="C22" s="919"/>
      <c r="D22" s="927"/>
      <c r="E22" s="754">
        <f>IF(AND(C22&lt;&gt;"",D22&lt;&gt;""),"DO NOT ENTER BOTH CPI AND GDP DEFLATORS","")</f>
      </c>
    </row>
    <row r="23" spans="2:5" ht="15">
      <c r="B23" s="757" t="s">
        <v>335</v>
      </c>
      <c r="C23" s="919"/>
      <c r="D23" s="927"/>
      <c r="E23" s="754">
        <f>IF(AND(C23&lt;&gt;"",D23&lt;&gt;""),"DO NOT ENTER BOTH CPI AND GDP DEFLATORS","")</f>
      </c>
    </row>
    <row r="24" spans="2:5" ht="15.75" thickBot="1">
      <c r="B24" s="758" t="s">
        <v>336</v>
      </c>
      <c r="C24" s="919"/>
      <c r="D24" s="927"/>
      <c r="E24" s="754">
        <f>IF(AND(C24&lt;&gt;"",D24&lt;&gt;""),"DO NOT ENTER BOTH CPI AND GDP DEFLATORS","")</f>
      </c>
    </row>
    <row r="25" spans="3:4" ht="15">
      <c r="C25" s="837">
        <v>81</v>
      </c>
      <c r="D25" s="837">
        <v>82</v>
      </c>
    </row>
  </sheetData>
  <sheetProtection/>
  <mergeCells count="2">
    <mergeCell ref="B15:I15"/>
    <mergeCell ref="B16:I16"/>
  </mergeCells>
  <hyperlinks>
    <hyperlink ref="F14" location="Instructions!A113" display="Instructions!A113"/>
    <hyperlink ref="C18" location="Instructions!A114" display="Instructions!A114"/>
    <hyperlink ref="D18" location="Instructions!A115" display="Instructions!A115"/>
    <hyperlink ref="D25" location="Instructions!A117" display="Instructions!A117"/>
    <hyperlink ref="C25" location="Instructions!A116" display="Instructions!A116"/>
  </hyperlinks>
  <printOptions gridLines="1" headings="1"/>
  <pageMargins left="0.24" right="0.23" top="0.17" bottom="0.36" header="0.18" footer="0.16"/>
  <pageSetup horizontalDpi="600" verticalDpi="600" orientation="landscape" paperSize="9" scale="80" r:id="rId2"/>
  <legacyDrawing r:id="rId1"/>
</worksheet>
</file>

<file path=xl/worksheets/sheet9.xml><?xml version="1.0" encoding="utf-8"?>
<worksheet xmlns="http://schemas.openxmlformats.org/spreadsheetml/2006/main" xmlns:r="http://schemas.openxmlformats.org/officeDocument/2006/relationships">
  <sheetPr codeName="Sheet8">
    <tabColor indexed="44"/>
  </sheetPr>
  <dimension ref="A1:AL91"/>
  <sheetViews>
    <sheetView zoomScale="90" zoomScaleNormal="90" zoomScalePageLayoutView="0" workbookViewId="0" topLeftCell="AB1">
      <selection activeCell="AE8" sqref="AE8"/>
    </sheetView>
  </sheetViews>
  <sheetFormatPr defaultColWidth="9.140625" defaultRowHeight="15"/>
  <cols>
    <col min="1" max="1" width="11.7109375" style="109" customWidth="1"/>
    <col min="2" max="2" width="14.140625" style="68" customWidth="1"/>
    <col min="3" max="3" width="13.140625" style="68" customWidth="1"/>
    <col min="4" max="4" width="11.421875" style="68" customWidth="1"/>
    <col min="5" max="5" width="9.8515625" style="68" customWidth="1"/>
    <col min="6" max="6" width="9.28125" style="68" bestFit="1" customWidth="1"/>
    <col min="7" max="7" width="10.00390625" style="68" customWidth="1"/>
    <col min="8" max="10" width="9.140625" style="68" customWidth="1"/>
    <col min="11" max="11" width="33.8515625" style="68" customWidth="1"/>
    <col min="12" max="13" width="9.140625" style="68" customWidth="1"/>
    <col min="14" max="14" width="11.57421875" style="68" bestFit="1" customWidth="1"/>
    <col min="15" max="15" width="9.140625" style="68" customWidth="1"/>
    <col min="16" max="16" width="21.57421875" style="68" customWidth="1"/>
    <col min="17" max="17" width="10.00390625" style="68" customWidth="1"/>
    <col min="18" max="18" width="10.8515625" style="68" customWidth="1"/>
    <col min="19" max="21" width="9.140625" style="68" customWidth="1"/>
    <col min="22" max="22" width="11.28125" style="68" customWidth="1"/>
    <col min="23" max="23" width="11.421875" style="68" customWidth="1"/>
    <col min="24" max="25" width="9.28125" style="68" bestFit="1" customWidth="1"/>
    <col min="26" max="29" width="9.140625" style="68" customWidth="1"/>
    <col min="30" max="30" width="35.421875" style="68" customWidth="1"/>
    <col min="31" max="31" width="11.421875" style="68" customWidth="1"/>
    <col min="32" max="32" width="12.140625" style="68" customWidth="1"/>
    <col min="33" max="33" width="11.57421875" style="68" bestFit="1" customWidth="1"/>
    <col min="34" max="34" width="10.57421875" style="68" customWidth="1"/>
    <col min="35" max="35" width="12.421875" style="68" bestFit="1" customWidth="1"/>
    <col min="36" max="16384" width="9.140625" style="68" customWidth="1"/>
  </cols>
  <sheetData>
    <row r="1" spans="1:32" s="64" customFormat="1" ht="20.25">
      <c r="A1" s="62" t="s">
        <v>33</v>
      </c>
      <c r="B1" s="63"/>
      <c r="C1" s="63"/>
      <c r="D1" s="63"/>
      <c r="E1" s="63"/>
      <c r="F1" s="63"/>
      <c r="G1" s="63"/>
      <c r="H1" s="63"/>
      <c r="I1"/>
      <c r="J1" s="63"/>
      <c r="K1" s="62" t="s">
        <v>34</v>
      </c>
      <c r="L1" s="62"/>
      <c r="M1" s="62"/>
      <c r="N1" s="62"/>
      <c r="O1" s="62"/>
      <c r="P1" s="62" t="s">
        <v>65</v>
      </c>
      <c r="Q1" s="62"/>
      <c r="R1" s="62"/>
      <c r="T1" s="62" t="s">
        <v>66</v>
      </c>
      <c r="U1" s="63"/>
      <c r="V1" s="63"/>
      <c r="W1" s="63"/>
      <c r="X1" s="63"/>
      <c r="Y1" s="63"/>
      <c r="Z1" s="63"/>
      <c r="AA1" s="63"/>
      <c r="AB1"/>
      <c r="AD1" s="62" t="s">
        <v>280</v>
      </c>
      <c r="AE1" s="62"/>
      <c r="AF1" s="62"/>
    </row>
    <row r="2" spans="1:32" s="64" customFormat="1" ht="15">
      <c r="A2" s="65"/>
      <c r="B2" s="63"/>
      <c r="C2" s="63"/>
      <c r="D2" s="63"/>
      <c r="E2" s="63"/>
      <c r="F2" s="63"/>
      <c r="G2" s="63"/>
      <c r="H2" s="63"/>
      <c r="I2"/>
      <c r="J2" s="63"/>
      <c r="K2" s="63"/>
      <c r="L2" s="63"/>
      <c r="M2" s="63"/>
      <c r="N2" s="63"/>
      <c r="O2" s="63"/>
      <c r="P2" s="63"/>
      <c r="Q2" s="63"/>
      <c r="R2" s="63"/>
      <c r="T2" s="65"/>
      <c r="U2" s="63"/>
      <c r="V2" s="63"/>
      <c r="W2" s="63"/>
      <c r="X2" s="63"/>
      <c r="Y2" s="63"/>
      <c r="Z2" s="63"/>
      <c r="AA2" s="63"/>
      <c r="AB2"/>
      <c r="AD2" s="63"/>
      <c r="AE2" s="63"/>
      <c r="AF2" s="63"/>
    </row>
    <row r="3" spans="1:28" ht="15.75" customHeight="1" thickBot="1">
      <c r="A3" s="66"/>
      <c r="B3" s="67"/>
      <c r="C3" s="67"/>
      <c r="D3" s="970" t="s">
        <v>35</v>
      </c>
      <c r="E3" s="962" t="s">
        <v>36</v>
      </c>
      <c r="F3" s="973"/>
      <c r="G3" s="973"/>
      <c r="H3" s="974"/>
      <c r="I3"/>
      <c r="J3" s="67"/>
      <c r="K3" s="67"/>
      <c r="L3" s="67"/>
      <c r="M3" s="67"/>
      <c r="N3" s="67"/>
      <c r="O3" s="67"/>
      <c r="P3" s="67"/>
      <c r="Q3" s="67"/>
      <c r="R3" s="67"/>
      <c r="T3" s="66"/>
      <c r="U3" s="67"/>
      <c r="V3" s="67"/>
      <c r="W3" s="970" t="s">
        <v>35</v>
      </c>
      <c r="X3" s="962" t="s">
        <v>36</v>
      </c>
      <c r="Y3" s="963"/>
      <c r="Z3" s="963"/>
      <c r="AA3" s="964"/>
      <c r="AB3"/>
    </row>
    <row r="4" spans="1:38" ht="29.25" thickBot="1">
      <c r="A4" s="66"/>
      <c r="B4" s="67"/>
      <c r="C4" s="67"/>
      <c r="D4" s="971"/>
      <c r="E4" s="759" t="s">
        <v>37</v>
      </c>
      <c r="F4" s="764" t="s">
        <v>38</v>
      </c>
      <c r="G4" s="69" t="s">
        <v>39</v>
      </c>
      <c r="H4" s="970" t="s">
        <v>40</v>
      </c>
      <c r="I4"/>
      <c r="J4" s="67"/>
      <c r="K4" s="67"/>
      <c r="L4" s="67"/>
      <c r="M4" s="67"/>
      <c r="N4" s="67"/>
      <c r="O4" s="67"/>
      <c r="P4" s="70" t="s">
        <v>26</v>
      </c>
      <c r="Q4" s="71" t="str">
        <f>'Start Page'!$G$3</f>
        <v>PTE </v>
      </c>
      <c r="R4" s="72"/>
      <c r="S4" s="73"/>
      <c r="T4" s="66"/>
      <c r="U4" s="67"/>
      <c r="V4" s="67"/>
      <c r="W4" s="986"/>
      <c r="X4" s="759" t="s">
        <v>37</v>
      </c>
      <c r="Y4" s="764" t="s">
        <v>38</v>
      </c>
      <c r="Z4" s="69" t="s">
        <v>39</v>
      </c>
      <c r="AA4" s="970" t="s">
        <v>40</v>
      </c>
      <c r="AB4"/>
      <c r="AI4"/>
      <c r="AJ4"/>
      <c r="AK4"/>
      <c r="AL4"/>
    </row>
    <row r="5" spans="1:38" ht="27" customHeight="1">
      <c r="A5" s="66"/>
      <c r="B5" s="975" t="s">
        <v>41</v>
      </c>
      <c r="C5" s="973"/>
      <c r="D5" s="74">
        <f>'AF model'!C23/'AF model'!C21</f>
        <v>7.131874630396215</v>
      </c>
      <c r="E5" s="769">
        <f>ROUNDDOWN(D5,0)</f>
        <v>7</v>
      </c>
      <c r="F5" s="765">
        <f>ROUNDUP(D5,0)</f>
        <v>8</v>
      </c>
      <c r="G5" s="75">
        <f>D5-E5</f>
        <v>0.13187463039621505</v>
      </c>
      <c r="H5" s="972"/>
      <c r="I5"/>
      <c r="J5" s="67"/>
      <c r="K5" s="67"/>
      <c r="L5" s="67"/>
      <c r="M5" s="67"/>
      <c r="N5" s="67"/>
      <c r="O5" s="67"/>
      <c r="P5" s="76"/>
      <c r="Q5" s="77"/>
      <c r="R5" s="77"/>
      <c r="S5" s="73"/>
      <c r="T5" s="66"/>
      <c r="U5" s="975" t="s">
        <v>41</v>
      </c>
      <c r="V5" s="988"/>
      <c r="W5" s="112">
        <f>$R$9</f>
        <v>11.25354214475695</v>
      </c>
      <c r="X5" s="769">
        <f>ROUNDDOWN(W5,0)</f>
        <v>11</v>
      </c>
      <c r="Y5" s="765">
        <f>ROUNDUP(W5,0)</f>
        <v>12</v>
      </c>
      <c r="Z5" s="75">
        <f>W5-X5</f>
        <v>0.2535421447569508</v>
      </c>
      <c r="AA5" s="986"/>
      <c r="AB5"/>
      <c r="AD5" s="78"/>
      <c r="AE5" s="81" t="s">
        <v>304</v>
      </c>
      <c r="AF5" s="81" t="s">
        <v>43</v>
      </c>
      <c r="AG5" s="81" t="s">
        <v>44</v>
      </c>
      <c r="AH5" s="934" t="s">
        <v>527</v>
      </c>
      <c r="AI5" s="937" t="s">
        <v>528</v>
      </c>
      <c r="AJ5" s="937" t="s">
        <v>529</v>
      </c>
      <c r="AK5" s="936" t="s">
        <v>32</v>
      </c>
      <c r="AL5"/>
    </row>
    <row r="6" spans="1:38" ht="14.25" customHeight="1">
      <c r="A6" s="66"/>
      <c r="B6" s="975" t="s">
        <v>42</v>
      </c>
      <c r="C6" s="973"/>
      <c r="D6" s="79">
        <f>'AF model'!C22/'AF model'!C21</f>
        <v>2.1726788882318155</v>
      </c>
      <c r="E6" s="770">
        <f>ROUNDDOWN(D6,0)</f>
        <v>2</v>
      </c>
      <c r="F6" s="766">
        <f>ROUNDUP(D6,0)</f>
        <v>3</v>
      </c>
      <c r="G6" s="80">
        <f>D6-E6</f>
        <v>0.17267888823181554</v>
      </c>
      <c r="H6" s="971"/>
      <c r="I6"/>
      <c r="J6" s="67"/>
      <c r="K6" s="78"/>
      <c r="L6" s="78" t="s">
        <v>304</v>
      </c>
      <c r="M6" s="78" t="s">
        <v>43</v>
      </c>
      <c r="N6" s="78" t="s">
        <v>44</v>
      </c>
      <c r="O6" s="67"/>
      <c r="P6" s="67"/>
      <c r="Q6" s="81" t="s">
        <v>303</v>
      </c>
      <c r="R6" s="81" t="s">
        <v>31</v>
      </c>
      <c r="S6" s="73"/>
      <c r="T6" s="66"/>
      <c r="U6" s="989" t="s">
        <v>42</v>
      </c>
      <c r="V6" s="990"/>
      <c r="W6" s="112">
        <f>$R$8</f>
        <v>3.235796444188079</v>
      </c>
      <c r="X6" s="770">
        <f>ROUNDDOWN(W6,0)</f>
        <v>3</v>
      </c>
      <c r="Y6" s="766">
        <f>ROUNDUP(W6,0)</f>
        <v>4</v>
      </c>
      <c r="Z6" s="80">
        <f>W6-X6</f>
        <v>0.23579644418807888</v>
      </c>
      <c r="AA6" s="987"/>
      <c r="AB6"/>
      <c r="AC6"/>
      <c r="AD6" s="78" t="s">
        <v>31</v>
      </c>
      <c r="AE6" s="78">
        <f>1</f>
        <v>1</v>
      </c>
      <c r="AF6" s="82">
        <f>W6</f>
        <v>3.235796444188079</v>
      </c>
      <c r="AG6" s="82">
        <f>W5</f>
        <v>11.25354214475695</v>
      </c>
      <c r="AI6" s="724"/>
      <c r="AJ6"/>
      <c r="AK6"/>
      <c r="AL6"/>
    </row>
    <row r="7" spans="1:38" ht="15">
      <c r="A7" s="66"/>
      <c r="B7" s="980" t="s">
        <v>45</v>
      </c>
      <c r="C7" s="981"/>
      <c r="D7" s="83"/>
      <c r="E7" s="125">
        <f>VLOOKUP(E$5,$A$35:$AJ$76,2)</f>
        <v>26815</v>
      </c>
      <c r="F7" s="767">
        <f>VLOOKUP(F$5,$A$35:$AJ$76,2)</f>
        <v>21320</v>
      </c>
      <c r="G7" s="122">
        <f>G5</f>
        <v>0.13187463039621505</v>
      </c>
      <c r="H7" s="125">
        <f>E7+G7*(F7-E7)</f>
        <v>26090.348905972798</v>
      </c>
      <c r="I7"/>
      <c r="J7" s="67"/>
      <c r="K7" s="78" t="s">
        <v>31</v>
      </c>
      <c r="L7" s="78">
        <v>1</v>
      </c>
      <c r="M7" s="82">
        <f>D6</f>
        <v>2.1726788882318155</v>
      </c>
      <c r="N7" s="82">
        <f>D5</f>
        <v>7.131874630396215</v>
      </c>
      <c r="O7" s="67"/>
      <c r="P7" s="78" t="s">
        <v>304</v>
      </c>
      <c r="Q7" s="111">
        <f>IF($Q$4="Non-PTE",EXP('RF Workings'!$G$32*((L12*VLOOKUP('Start Page'!$G$4,'RF Workings'!$E$3:$G$13,3)/1.2)^'RF Workings'!$G$31)),EXP('RF Workings'!$F$32*((L12*VLOOKUP('Start Page'!$G$4,'RF Workings'!$E$3:$G$13,3)/1.12)^'RF Workings'!$F$31)))</f>
        <v>0.46302926511278286</v>
      </c>
      <c r="R7" s="78">
        <v>1</v>
      </c>
      <c r="S7"/>
      <c r="T7" s="66"/>
      <c r="U7" s="980" t="s">
        <v>45</v>
      </c>
      <c r="V7" s="981"/>
      <c r="W7" s="83"/>
      <c r="X7" s="125">
        <f>VLOOKUP(X$5,$A$35:$AJ$76,2)</f>
        <v>10517</v>
      </c>
      <c r="Y7" s="767">
        <f>VLOOKUP(Y$5,$A$35:$AJ$76,2)</f>
        <v>8252</v>
      </c>
      <c r="Z7" s="122">
        <f>Z5</f>
        <v>0.2535421447569508</v>
      </c>
      <c r="AA7" s="125">
        <f>X7+Z7*(Y7-X7)</f>
        <v>9942.727042125507</v>
      </c>
      <c r="AB7"/>
      <c r="AC7"/>
      <c r="AD7" s="78" t="s">
        <v>48</v>
      </c>
      <c r="AE7" s="784">
        <f>AA11-H11*Q7</f>
        <v>309742.35165129893</v>
      </c>
      <c r="AF7" s="84">
        <f>AA9</f>
        <v>18894.57132533465</v>
      </c>
      <c r="AG7" s="84">
        <f>AA7</f>
        <v>9942.727042125507</v>
      </c>
      <c r="AI7"/>
      <c r="AJ7"/>
      <c r="AK7"/>
      <c r="AL7"/>
    </row>
    <row r="8" spans="1:38" ht="15">
      <c r="A8" s="66"/>
      <c r="B8" s="982" t="s">
        <v>283</v>
      </c>
      <c r="C8" s="983"/>
      <c r="D8" s="85"/>
      <c r="E8" s="126">
        <f>VLOOKUP(E$5,$A$35:$AJ$76,3)</f>
        <v>302850.5817420598</v>
      </c>
      <c r="F8" s="86">
        <f>VLOOKUP(F$5,$A$35:$AJ$76,3)</f>
        <v>262631.7721689797</v>
      </c>
      <c r="G8" s="123">
        <f>G5</f>
        <v>0.13187463039621505</v>
      </c>
      <c r="H8" s="126">
        <f>E8+G8*(F8-E8)</f>
        <v>297546.7410946341</v>
      </c>
      <c r="I8"/>
      <c r="J8" s="67"/>
      <c r="K8" s="78" t="s">
        <v>46</v>
      </c>
      <c r="L8" s="87">
        <f>'AF model'!C21</f>
        <v>1.691</v>
      </c>
      <c r="M8" s="87">
        <f>'AF model'!C22</f>
        <v>3.674</v>
      </c>
      <c r="N8" s="87">
        <f>'AF model'!C23</f>
        <v>12.06</v>
      </c>
      <c r="O8" s="67"/>
      <c r="P8" s="78" t="s">
        <v>43</v>
      </c>
      <c r="Q8" s="111">
        <f>IF($Q$4="Non-PTE",EXP('RF Workings'!$G$32*((M12*VLOOKUP('Start Page'!$G$4,'RF Workings'!$E$3:$G$13,3)/1.2)^'RF Workings'!$G$31)),EXP('RF Workings'!$F$32*((M12*VLOOKUP('Start Page'!$G$4,'RF Workings'!$E$3:$G$13,3)/1.12)^'RF Workings'!$F$31)))</f>
        <v>0.4893118636695813</v>
      </c>
      <c r="R8" s="78">
        <f>(1+Q8)*D6</f>
        <v>3.235796444188079</v>
      </c>
      <c r="S8"/>
      <c r="T8" s="66"/>
      <c r="U8" s="982" t="s">
        <v>283</v>
      </c>
      <c r="V8" s="983"/>
      <c r="W8" s="85"/>
      <c r="X8" s="126">
        <f>VLOOKUP(X$5,$A$35:$AJ$76,3)</f>
        <v>162808.526619638</v>
      </c>
      <c r="Y8" s="86">
        <f>VLOOKUP(Y$5,$A$35:$AJ$76,3)</f>
        <v>136769.0068857762</v>
      </c>
      <c r="Z8" s="123">
        <f>Z5</f>
        <v>0.2535421447569508</v>
      </c>
      <c r="AA8" s="126">
        <f>X8+Z8*(Y8-X8)</f>
        <v>156206.41093787373</v>
      </c>
      <c r="AB8"/>
      <c r="AC8"/>
      <c r="AD8" s="78" t="s">
        <v>279</v>
      </c>
      <c r="AE8" s="784">
        <f>AA11-H11*Q7</f>
        <v>309742.35165129893</v>
      </c>
      <c r="AF8" s="84">
        <f>AA10</f>
        <v>72421.72353867063</v>
      </c>
      <c r="AG8" s="84">
        <f>AA8</f>
        <v>156206.41093787373</v>
      </c>
      <c r="AH8" s="935">
        <f>SUM(AE8:AG8)</f>
        <v>538370.4861278433</v>
      </c>
      <c r="AI8"/>
      <c r="AJ8"/>
      <c r="AK8"/>
      <c r="AL8"/>
    </row>
    <row r="9" spans="1:38" ht="15">
      <c r="A9" s="66"/>
      <c r="B9" s="984" t="s">
        <v>47</v>
      </c>
      <c r="C9" s="985"/>
      <c r="D9" s="85"/>
      <c r="E9" s="126">
        <f>VLOOKUP($E$5,$A$35:$AJ$76,$E15)+$G$5*(VLOOKUP($F$5,$A$35:$AJ$76,E$15)-VLOOKUP($E$5,$A$35:$AJ$76,E$15))</f>
        <v>88042.68598462448</v>
      </c>
      <c r="F9" s="86">
        <f>VLOOKUP($E$5,$A$35:$AJ$76,$F15)+$G$5*(VLOOKUP($F$5,$A$35:$AJ$76,F$15)-VLOOKUP($E$5,$A$35:$AJ$76,F$15))</f>
        <v>10365.755765819042</v>
      </c>
      <c r="G9" s="123">
        <f>IF(G6=0,G5,G6)</f>
        <v>0.17267888823181554</v>
      </c>
      <c r="H9" s="126">
        <f>E9+G9*(F9-E9)</f>
        <v>74629.52003318083</v>
      </c>
      <c r="I9"/>
      <c r="J9" s="67"/>
      <c r="K9" s="78" t="s">
        <v>48</v>
      </c>
      <c r="L9" s="84">
        <f>H11</f>
        <v>113800.13877028502</v>
      </c>
      <c r="M9" s="84">
        <f>H9</f>
        <v>74629.52003318083</v>
      </c>
      <c r="N9" s="84">
        <f>H7</f>
        <v>26090.348905972798</v>
      </c>
      <c r="O9" s="67"/>
      <c r="P9" s="78" t="s">
        <v>44</v>
      </c>
      <c r="Q9" s="111">
        <f>IF($Q$4="Non-PTE",EXP('RF Workings'!$G$32*((N12*VLOOKUP('Start Page'!$G$4,'RF Workings'!$E$3:$G$13,3)/1.2)^'RF Workings'!$G$31)),EXP('RF Workings'!$F$32*((N12*VLOOKUP('Start Page'!$G$4,'RF Workings'!$E$3:$G$13,3)/1.12)^'RF Workings'!$F$31)))</f>
        <v>0.5779220370467667</v>
      </c>
      <c r="R9" s="78">
        <f>(1+Q9)*D5</f>
        <v>11.25354214475695</v>
      </c>
      <c r="S9"/>
      <c r="T9" s="66"/>
      <c r="U9" s="984" t="s">
        <v>47</v>
      </c>
      <c r="V9" s="985"/>
      <c r="W9" s="85"/>
      <c r="X9" s="126">
        <f>VLOOKUP($X$5,$A$35:$AJ$76,$X14)+Z5*(VLOOKUP($Y$5,$A$35:$AJ$76,$X14)-VLOOKUP($X$5,$A$35:$AJ$76,$X14))</f>
        <v>22091.915020763976</v>
      </c>
      <c r="Y9" s="86">
        <f>VLOOKUP($X$5,$A$35:$AJ$76,$Y14)+Z5*(VLOOKUP($Y$5,$A$35:$AJ$76,$Y14)-VLOOKUP($X$5,$A$35:$AJ$76,$Y14))</f>
        <v>8532.15288593289</v>
      </c>
      <c r="Z9" s="123">
        <f>IF(Z6=0,Z5,Z6)</f>
        <v>0.23579644418807888</v>
      </c>
      <c r="AA9" s="126">
        <f>X9+Z9*(Y9-X9)</f>
        <v>18894.57132533465</v>
      </c>
      <c r="AB9"/>
      <c r="AC9"/>
      <c r="AD9" s="68" t="s">
        <v>46</v>
      </c>
      <c r="AE9" s="901">
        <f>L8</f>
        <v>1.691</v>
      </c>
      <c r="AF9" s="901">
        <f>M8</f>
        <v>3.674</v>
      </c>
      <c r="AG9" s="901">
        <f>N8</f>
        <v>12.06</v>
      </c>
      <c r="AI9" s="940">
        <f>SUMPRODUCT(AE7:AG7,AE9:AG9)</f>
        <v>713102.2598196596</v>
      </c>
      <c r="AJ9" s="938">
        <f>AI9/AH8</f>
        <v>1.3245567470619553</v>
      </c>
      <c r="AK9" s="939">
        <f>1-AJ9/AE9</f>
        <v>0.2167021010869573</v>
      </c>
      <c r="AL9"/>
    </row>
    <row r="10" spans="1:38" ht="15">
      <c r="A10" s="66"/>
      <c r="B10" s="984" t="s">
        <v>281</v>
      </c>
      <c r="C10" s="985"/>
      <c r="D10" s="85"/>
      <c r="E10" s="126">
        <f>VLOOKUP($E$5,$A$35:$AJ$76,$E16)+$G$5*(VLOOKUP($F$5,$A$35:$AJ$76,E$16)-VLOOKUP($E$5,$A$35:$AJ$76,E$16))</f>
        <v>209332.69561183767</v>
      </c>
      <c r="F10" s="86">
        <f>VLOOKUP($E$5,$A$35:$AJ$76,$F16)+$G$5*(VLOOKUP($F$5,$A$35:$AJ$76,F$16)-VLOOKUP($E$5,$A$35:$AJ$76,F$16))</f>
        <v>37821.89294391304</v>
      </c>
      <c r="G10" s="123">
        <f>IF(G6=0,G5,G6)</f>
        <v>0.17267888823181554</v>
      </c>
      <c r="H10" s="126">
        <f>E10+G10*(F10-E10)</f>
        <v>179716.40088739415</v>
      </c>
      <c r="I10"/>
      <c r="J10" s="67"/>
      <c r="K10" s="78" t="s">
        <v>285</v>
      </c>
      <c r="L10" s="84">
        <f>H11</f>
        <v>113800.13877028502</v>
      </c>
      <c r="M10" s="84">
        <f>H10</f>
        <v>179716.40088739415</v>
      </c>
      <c r="N10" s="84">
        <f>H8</f>
        <v>297546.7410946341</v>
      </c>
      <c r="O10" s="67"/>
      <c r="P10" s="67"/>
      <c r="Q10" s="67"/>
      <c r="R10" s="67"/>
      <c r="S10"/>
      <c r="T10" s="66"/>
      <c r="U10" s="984" t="s">
        <v>281</v>
      </c>
      <c r="V10" s="985"/>
      <c r="W10" s="85"/>
      <c r="X10" s="126">
        <f>VLOOKUP($X$5,$A$35:$AJ$76,$X15)+Z5*(VLOOKUP($Y$5,$A$35:$AJ$76,$X15)-VLOOKUP($X$5,$A$35:$AJ$76,$X15))</f>
        <v>82825.13891191885</v>
      </c>
      <c r="Y10" s="86">
        <f>VLOOKUP($X$5,$A$35:$AJ$76,$Y15)+Z5*(VLOOKUP($Y$5,$A$35:$AJ$76,$Y15)-VLOOKUP($X$5,$A$35:$AJ$76,$Y15))</f>
        <v>38704.81551573517</v>
      </c>
      <c r="Z10" s="123">
        <f>IF(Z6=0,Z5,Z6)</f>
        <v>0.23579644418807888</v>
      </c>
      <c r="AA10" s="126">
        <f>X10+Z10*(Y10-X10)</f>
        <v>72421.72353867063</v>
      </c>
      <c r="AB10"/>
      <c r="AC10"/>
      <c r="AD10" s="68" t="s">
        <v>526</v>
      </c>
      <c r="AE10" s="933">
        <f>AE8/AE7</f>
        <v>1</v>
      </c>
      <c r="AF10" s="933">
        <f>AF8/AF7</f>
        <v>3.8329381647078957</v>
      </c>
      <c r="AG10" s="933">
        <f>AG8/AG7</f>
        <v>15.710620464190145</v>
      </c>
      <c r="AI10" s="940"/>
      <c r="AJ10"/>
      <c r="AK10" s="939"/>
      <c r="AL10"/>
    </row>
    <row r="11" spans="1:38" ht="15">
      <c r="A11" s="66"/>
      <c r="B11" s="976" t="s">
        <v>282</v>
      </c>
      <c r="C11" s="977"/>
      <c r="D11" s="88"/>
      <c r="E11" s="127">
        <f>VLOOKUP($E$5,$A$35:$AJ$76,$E17)+$G$5*(VLOOKUP($F$5,$A$35:$AJ$76,E$17)-VLOOKUP($E$5,$A$35:$AJ$76,E$17))</f>
        <v>84183.8440458415</v>
      </c>
      <c r="F11" s="768">
        <f>VLOOKUP($E$5,$A$35:$AJ$76,$F17)+$G$5*(VLOOKUP($F$5,$A$35:$AJ$76,F$17)-VLOOKUP($E$5,$A$35:$AJ$76,F$17))</f>
        <v>255694.64671376612</v>
      </c>
      <c r="G11" s="124">
        <f>IF(G6=0,G5,G6)</f>
        <v>0.17267888823181554</v>
      </c>
      <c r="H11" s="127">
        <f>E11+G11*(F11-E11)</f>
        <v>113800.13877028502</v>
      </c>
      <c r="I11"/>
      <c r="J11" s="67"/>
      <c r="K11" s="78" t="s">
        <v>286</v>
      </c>
      <c r="L11" s="89">
        <f>IF(L9=0,0,L10/L9)</f>
        <v>1</v>
      </c>
      <c r="M11" s="89">
        <f>IF(M9=0,0,M10/M9)</f>
        <v>2.408114119017393</v>
      </c>
      <c r="N11" s="89">
        <f>IF(N9=0,0,N10/N9)</f>
        <v>11.404475354736153</v>
      </c>
      <c r="O11" s="67"/>
      <c r="T11" s="66"/>
      <c r="U11" s="976" t="s">
        <v>282</v>
      </c>
      <c r="V11" s="977"/>
      <c r="W11" s="88"/>
      <c r="X11" s="127">
        <f>VLOOKUP($X$5,$A$35:$AJ$76,$X16)+Z5*(VLOOKUP($Y$5,$A$35:$AJ$76,$X16)-VLOOKUP($X$5,$A$35:$AJ$76,$X16))</f>
        <v>352031.7309025885</v>
      </c>
      <c r="Y11" s="768">
        <f>VLOOKUP($X$5,$A$35:$AJ$76,$Y16)+Z5*(VLOOKUP($Y$5,$A$35:$AJ$76,$Y16)-VLOOKUP($X$5,$A$35:$AJ$76,$Y16))</f>
        <v>396152.05429877224</v>
      </c>
      <c r="Z11" s="124">
        <f>IF(Z6=0,Z5,Z6)</f>
        <v>0.23579644418807888</v>
      </c>
      <c r="AA11" s="127">
        <f>X11+Z11*(Y11-X11)</f>
        <v>362435.14627583674</v>
      </c>
      <c r="AB11"/>
      <c r="AC11"/>
      <c r="AD11" s="68" t="s">
        <v>287</v>
      </c>
      <c r="AE11" s="912">
        <f>AE9/AE10</f>
        <v>1.691</v>
      </c>
      <c r="AF11" s="912">
        <f>AF9/AF10</f>
        <v>0.9585335954095653</v>
      </c>
      <c r="AG11" s="912">
        <f>AG9/AG10</f>
        <v>0.7676335907603935</v>
      </c>
      <c r="AI11" s="940">
        <f>SUMPRODUCT(AE8:AG8,AE11:AG11)</f>
        <v>713102.2598196596</v>
      </c>
      <c r="AJ11" s="938">
        <f>AI11/AH8</f>
        <v>1.3245567470619553</v>
      </c>
      <c r="AK11" s="939">
        <f>1-AJ11/AE11</f>
        <v>0.2167021010869573</v>
      </c>
      <c r="AL11"/>
    </row>
    <row r="12" spans="1:38" ht="15.75" thickBot="1">
      <c r="A12" s="66"/>
      <c r="B12" s="962" t="s">
        <v>284</v>
      </c>
      <c r="C12" s="978"/>
      <c r="D12" s="211"/>
      <c r="E12" s="90">
        <f>E8+E10+E11</f>
        <v>596367.121399739</v>
      </c>
      <c r="F12" s="90">
        <f>F8+F10+F11</f>
        <v>556148.3118266589</v>
      </c>
      <c r="G12" s="88"/>
      <c r="H12" s="90">
        <f>H8+H10+H11</f>
        <v>591063.2807523133</v>
      </c>
      <c r="I12"/>
      <c r="J12" s="67"/>
      <c r="K12" s="91" t="s">
        <v>287</v>
      </c>
      <c r="L12" s="92">
        <f>IF(L11=0,L8,L$8/L11)</f>
        <v>1.691</v>
      </c>
      <c r="M12" s="92">
        <f>IF(M11=0,M8,M$8/M11)</f>
        <v>1.525675204088392</v>
      </c>
      <c r="N12" s="113">
        <f>IF(N11=0,N8,N$8/N11)</f>
        <v>1.0574795968138608</v>
      </c>
      <c r="O12" s="67"/>
      <c r="T12" s="66"/>
      <c r="U12" s="962" t="s">
        <v>284</v>
      </c>
      <c r="V12" s="978"/>
      <c r="W12" s="211"/>
      <c r="X12" s="90">
        <f>X8+X10+X11</f>
        <v>597665.3964341454</v>
      </c>
      <c r="Y12" s="90">
        <f>Y8+Y10+Y11</f>
        <v>571625.8767002836</v>
      </c>
      <c r="Z12" s="88"/>
      <c r="AA12" s="90">
        <f>AA8+AA10+AA11</f>
        <v>591063.2807523811</v>
      </c>
      <c r="AB12"/>
      <c r="AC12"/>
      <c r="AI12"/>
      <c r="AJ12"/>
      <c r="AK12" s="939"/>
      <c r="AL12"/>
    </row>
    <row r="13" spans="1:38" ht="15.75" hidden="1" thickBot="1">
      <c r="A13" s="66"/>
      <c r="B13" s="777"/>
      <c r="G13" s="67"/>
      <c r="H13" s="67"/>
      <c r="I13"/>
      <c r="J13" s="67"/>
      <c r="K13" s="67"/>
      <c r="L13" s="67"/>
      <c r="M13" s="67"/>
      <c r="N13" s="67"/>
      <c r="O13" s="67"/>
      <c r="T13" s="66"/>
      <c r="U13" s="93"/>
      <c r="V13" s="94"/>
      <c r="W13" s="94"/>
      <c r="X13" s="991" t="s">
        <v>50</v>
      </c>
      <c r="Y13" s="992"/>
      <c r="Z13" s="67"/>
      <c r="AA13" s="67"/>
      <c r="AB13"/>
      <c r="AC13"/>
      <c r="AI13"/>
      <c r="AJ13"/>
      <c r="AK13" s="939"/>
      <c r="AL13"/>
    </row>
    <row r="14" spans="1:38" ht="15" hidden="1">
      <c r="A14" s="66"/>
      <c r="B14" s="93"/>
      <c r="C14" s="94"/>
      <c r="D14" s="94"/>
      <c r="E14" s="991" t="s">
        <v>50</v>
      </c>
      <c r="F14" s="992"/>
      <c r="G14" s="67"/>
      <c r="H14" s="67"/>
      <c r="I14"/>
      <c r="J14" s="67"/>
      <c r="K14" s="67"/>
      <c r="L14" s="67"/>
      <c r="M14" s="67"/>
      <c r="N14" s="67"/>
      <c r="O14" s="67"/>
      <c r="Q14" s="903"/>
      <c r="R14" s="903"/>
      <c r="T14" s="66"/>
      <c r="U14" s="95" t="s">
        <v>47</v>
      </c>
      <c r="V14" s="96"/>
      <c r="W14" s="96"/>
      <c r="X14" s="97">
        <f>7+3*($X$6-1)</f>
        <v>13</v>
      </c>
      <c r="Y14" s="98">
        <f>7+3*($Y$6-1)</f>
        <v>16</v>
      </c>
      <c r="Z14" s="67"/>
      <c r="AA14" s="67"/>
      <c r="AB14"/>
      <c r="AI14"/>
      <c r="AJ14"/>
      <c r="AK14" s="939"/>
      <c r="AL14"/>
    </row>
    <row r="15" spans="1:38" ht="15" hidden="1">
      <c r="A15" s="66"/>
      <c r="B15" s="95" t="s">
        <v>47</v>
      </c>
      <c r="C15" s="96"/>
      <c r="D15" s="96"/>
      <c r="E15" s="97">
        <f>7+3*($E$6-1)</f>
        <v>10</v>
      </c>
      <c r="F15" s="98">
        <f>7+3*($F$6-1)</f>
        <v>13</v>
      </c>
      <c r="G15" s="67"/>
      <c r="H15" s="67"/>
      <c r="I15"/>
      <c r="J15" s="67"/>
      <c r="K15" s="67"/>
      <c r="L15" s="67"/>
      <c r="M15" s="67"/>
      <c r="N15" s="67"/>
      <c r="O15" s="67"/>
      <c r="P15" s="903"/>
      <c r="T15" s="66"/>
      <c r="U15" s="95" t="s">
        <v>281</v>
      </c>
      <c r="V15" s="96"/>
      <c r="W15" s="96"/>
      <c r="X15" s="97">
        <f>8+3*($X$6-1)</f>
        <v>14</v>
      </c>
      <c r="Y15" s="98">
        <f>8+3*($Y$6-1)</f>
        <v>17</v>
      </c>
      <c r="Z15" s="67"/>
      <c r="AA15" s="67"/>
      <c r="AB15"/>
      <c r="AI15"/>
      <c r="AJ15"/>
      <c r="AK15" s="939"/>
      <c r="AL15"/>
    </row>
    <row r="16" spans="1:38" ht="15" hidden="1">
      <c r="A16" s="66"/>
      <c r="B16" s="95" t="s">
        <v>281</v>
      </c>
      <c r="C16" s="96"/>
      <c r="D16" s="96"/>
      <c r="E16" s="97">
        <f>8+3*($E$6-1)</f>
        <v>11</v>
      </c>
      <c r="F16" s="98">
        <f>8+3*($F$6-1)</f>
        <v>14</v>
      </c>
      <c r="G16" s="67"/>
      <c r="H16" s="67"/>
      <c r="I16"/>
      <c r="J16" s="67"/>
      <c r="K16" s="67"/>
      <c r="L16" s="67"/>
      <c r="M16" s="67"/>
      <c r="N16" s="67"/>
      <c r="O16" s="67"/>
      <c r="P16" s="903"/>
      <c r="T16" s="66"/>
      <c r="U16" s="99" t="s">
        <v>282</v>
      </c>
      <c r="V16" s="100"/>
      <c r="W16" s="100"/>
      <c r="X16" s="101">
        <f>9+3*($X$6-1)</f>
        <v>15</v>
      </c>
      <c r="Y16" s="102">
        <f>9+3*($Y$6-1)</f>
        <v>18</v>
      </c>
      <c r="Z16" s="67"/>
      <c r="AA16" s="67"/>
      <c r="AB16"/>
      <c r="AI16"/>
      <c r="AJ16"/>
      <c r="AK16" s="939"/>
      <c r="AL16"/>
    </row>
    <row r="17" spans="1:38" ht="15.75" hidden="1" thickBot="1">
      <c r="A17" s="66"/>
      <c r="B17" s="95" t="s">
        <v>282</v>
      </c>
      <c r="C17" s="96"/>
      <c r="D17" s="96"/>
      <c r="E17" s="97">
        <f>9+3*($E$6-1)</f>
        <v>12</v>
      </c>
      <c r="F17" s="98">
        <f>9+3*($F$6-1)</f>
        <v>15</v>
      </c>
      <c r="G17" s="67"/>
      <c r="H17" s="67"/>
      <c r="I17"/>
      <c r="J17" s="67"/>
      <c r="K17" s="67"/>
      <c r="L17" s="67"/>
      <c r="M17" s="67"/>
      <c r="N17" s="67"/>
      <c r="O17" s="67"/>
      <c r="P17" s="903"/>
      <c r="AB17"/>
      <c r="AI17"/>
      <c r="AJ17"/>
      <c r="AK17" s="939"/>
      <c r="AL17"/>
    </row>
    <row r="18" spans="1:38" ht="15.75" thickBot="1">
      <c r="A18" s="213" t="s">
        <v>32</v>
      </c>
      <c r="B18" s="214"/>
      <c r="C18" s="215"/>
      <c r="D18" s="215"/>
      <c r="E18" s="216">
        <f>1-(E7*E5+E9*E6+E11)/E12</f>
        <v>0.24882811285161743</v>
      </c>
      <c r="F18" s="216">
        <f>1-(F7*F5+F9*F6+F11)/F12</f>
        <v>0.17764397682147182</v>
      </c>
      <c r="G18" s="105"/>
      <c r="H18" s="218">
        <f>1-(H7*D5+H9*D6+H11)/H12</f>
        <v>0.21832528953942276</v>
      </c>
      <c r="I18"/>
      <c r="J18" s="67"/>
      <c r="K18" s="785" t="s">
        <v>32</v>
      </c>
      <c r="L18" s="216">
        <f>1-(SUMPRODUCT(L12:N12,L10:N10)/SUM(L10:N10))/L12</f>
        <v>0.21832528953942287</v>
      </c>
      <c r="M18" s="789">
        <f>1-(SUMPRODUCT(L8:N8,L9:N9)/SUM(L10:N10))/L12</f>
        <v>0.21832528953942287</v>
      </c>
      <c r="N18" s="67"/>
      <c r="O18" s="67"/>
      <c r="P18" s="903"/>
      <c r="Q18" s="902"/>
      <c r="R18" s="902"/>
      <c r="U18" s="786"/>
      <c r="V18" s="787"/>
      <c r="W18" s="787"/>
      <c r="X18" s="787"/>
      <c r="Y18" s="787"/>
      <c r="Z18" s="788" t="s">
        <v>32</v>
      </c>
      <c r="AA18" s="789">
        <f>1-(AA7*W5+AA9*W6+AA11)/AA12</f>
        <v>0.09406480114011107</v>
      </c>
      <c r="AB18"/>
      <c r="AF18" s="788" t="s">
        <v>32</v>
      </c>
      <c r="AG18" s="790">
        <f>1-SUMPRODUCT(AE7:AG7,AE6:AG6)/SUM(AE8:AG8)</f>
        <v>0.10327135568867685</v>
      </c>
      <c r="AI18" s="938">
        <f>AE9*SUMPRODUCT(AE6:AG6,AE7:AG7)</f>
        <v>816367.8513510393</v>
      </c>
      <c r="AJ18" s="938">
        <f>AI18/AH8</f>
        <v>1.5163681375304474</v>
      </c>
      <c r="AK18" s="939">
        <f>1-AJ18/AE11</f>
        <v>0.10327135568867685</v>
      </c>
      <c r="AL18"/>
    </row>
    <row r="19" spans="1:38" ht="15.75" hidden="1" thickBot="1">
      <c r="A19" s="103"/>
      <c r="B19" s="104"/>
      <c r="C19" s="104"/>
      <c r="D19" s="104"/>
      <c r="E19" s="217" t="s">
        <v>61</v>
      </c>
      <c r="F19" s="212">
        <f>AVERAGE(E18:F18)</f>
        <v>0.21323604483654462</v>
      </c>
      <c r="G19" s="219"/>
      <c r="H19" s="219"/>
      <c r="I19"/>
      <c r="J19" s="67"/>
      <c r="K19" s="67"/>
      <c r="L19" s="106">
        <f>L18-H18-0</f>
        <v>1.1102230246251565E-16</v>
      </c>
      <c r="M19" s="107">
        <f>M18-L18-0</f>
        <v>0</v>
      </c>
      <c r="N19" s="67"/>
      <c r="O19" s="67"/>
      <c r="P19" s="903"/>
      <c r="Q19" s="901"/>
      <c r="R19" s="901"/>
      <c r="AB19"/>
      <c r="AI19"/>
      <c r="AJ19"/>
      <c r="AK19"/>
      <c r="AL19"/>
    </row>
    <row r="20" spans="1:38" ht="15">
      <c r="A20" s="791"/>
      <c r="B20" s="792"/>
      <c r="C20" s="792"/>
      <c r="D20" s="792"/>
      <c r="E20" s="792"/>
      <c r="F20" s="793"/>
      <c r="G20" s="792"/>
      <c r="H20" s="792"/>
      <c r="I20"/>
      <c r="J20" s="67"/>
      <c r="K20" s="67"/>
      <c r="L20" s="794"/>
      <c r="M20" s="794"/>
      <c r="N20" s="67"/>
      <c r="O20" s="67"/>
      <c r="P20" s="903"/>
      <c r="Q20" s="901"/>
      <c r="R20" s="901"/>
      <c r="AB20"/>
      <c r="AI20"/>
      <c r="AJ20"/>
      <c r="AK20"/>
      <c r="AL20"/>
    </row>
    <row r="21" spans="1:38" ht="15">
      <c r="A21" s="66"/>
      <c r="B21" s="67"/>
      <c r="C21" s="776" t="s">
        <v>294</v>
      </c>
      <c r="D21" s="67"/>
      <c r="E21" s="67"/>
      <c r="F21" s="108"/>
      <c r="G21" s="67"/>
      <c r="H21" s="67"/>
      <c r="I21"/>
      <c r="J21" s="67"/>
      <c r="K21" s="67"/>
      <c r="L21" s="67"/>
      <c r="M21" s="67"/>
      <c r="N21" s="67"/>
      <c r="O21" s="67"/>
      <c r="P21" s="903"/>
      <c r="Q21" s="912"/>
      <c r="R21" s="912"/>
      <c r="V21" s="776" t="s">
        <v>294</v>
      </c>
      <c r="AB21"/>
      <c r="AE21" s="776" t="s">
        <v>294</v>
      </c>
      <c r="AI21"/>
      <c r="AJ21"/>
      <c r="AK21"/>
      <c r="AL21"/>
    </row>
    <row r="22" spans="1:33" ht="15">
      <c r="A22" s="66"/>
      <c r="B22" s="67"/>
      <c r="C22" s="780" t="s">
        <v>278</v>
      </c>
      <c r="D22" s="85" t="s">
        <v>44</v>
      </c>
      <c r="E22" s="781">
        <f>E8/E$12</f>
        <v>0.507825751747072</v>
      </c>
      <c r="F22" s="781">
        <f>F8/F$12</f>
        <v>0.47223333521659083</v>
      </c>
      <c r="G22" s="781"/>
      <c r="H22" s="781">
        <f>H8/H$12</f>
        <v>0.5034092808403063</v>
      </c>
      <c r="I22" s="67"/>
      <c r="J22" s="67"/>
      <c r="K22" s="67"/>
      <c r="L22" s="67"/>
      <c r="M22" s="67"/>
      <c r="N22" s="67"/>
      <c r="O22" s="67"/>
      <c r="V22" s="776" t="s">
        <v>278</v>
      </c>
      <c r="W22" s="67" t="s">
        <v>44</v>
      </c>
      <c r="X22" s="149">
        <f>X8/X$12</f>
        <v>0.27240748350331717</v>
      </c>
      <c r="Y22" s="149">
        <f>Y8/Y$12</f>
        <v>0.23926314825927186</v>
      </c>
      <c r="Z22" s="149"/>
      <c r="AA22" s="149">
        <f>AA8/AA$12</f>
        <v>0.2642803503865681</v>
      </c>
      <c r="AE22" s="795" t="s">
        <v>278</v>
      </c>
      <c r="AF22" s="67" t="s">
        <v>304</v>
      </c>
      <c r="AG22" s="149">
        <f>AE8/SUM($AE$8:$AG$8)</f>
        <v>0.5753330831321731</v>
      </c>
    </row>
    <row r="23" spans="1:33" ht="15">
      <c r="A23" s="66"/>
      <c r="B23" s="67"/>
      <c r="C23" s="780"/>
      <c r="D23" s="85" t="s">
        <v>43</v>
      </c>
      <c r="E23" s="781">
        <f>E10/E$12</f>
        <v>0.3510131395582488</v>
      </c>
      <c r="F23" s="781">
        <f>F10/F$12</f>
        <v>0.06800684662637513</v>
      </c>
      <c r="G23" s="781"/>
      <c r="H23" s="781">
        <f>H10/H$12</f>
        <v>0.30405610827092605</v>
      </c>
      <c r="I23" s="67"/>
      <c r="J23" s="67"/>
      <c r="K23" s="67"/>
      <c r="L23" s="67"/>
      <c r="M23" s="67"/>
      <c r="N23" s="67"/>
      <c r="O23" s="67"/>
      <c r="P23" s="903"/>
      <c r="S23" s="67"/>
      <c r="V23" s="67"/>
      <c r="W23" s="67" t="s">
        <v>43</v>
      </c>
      <c r="X23" s="149">
        <f>X10/X$12</f>
        <v>0.13858111814081753</v>
      </c>
      <c r="Y23" s="149">
        <f>Y10/Y$12</f>
        <v>0.0677100479410749</v>
      </c>
      <c r="Z23" s="149"/>
      <c r="AA23" s="149">
        <f>AA10/AA$12</f>
        <v>0.12252786782234718</v>
      </c>
      <c r="AE23" s="796"/>
      <c r="AF23" s="67" t="s">
        <v>43</v>
      </c>
      <c r="AG23" s="149">
        <f>AF8/SUM($AE$8:$AG$8)</f>
        <v>0.1345202335654654</v>
      </c>
    </row>
    <row r="24" spans="1:33" ht="15">
      <c r="A24" s="66"/>
      <c r="B24" s="67"/>
      <c r="C24" s="778"/>
      <c r="D24" s="88" t="s">
        <v>304</v>
      </c>
      <c r="E24" s="779">
        <f>E11/E$12</f>
        <v>0.1411611086946792</v>
      </c>
      <c r="F24" s="779">
        <f>F11/F$12</f>
        <v>0.459759818157034</v>
      </c>
      <c r="G24" s="779"/>
      <c r="H24" s="779">
        <f>H11/H$12</f>
        <v>0.19253461088876755</v>
      </c>
      <c r="I24" s="67"/>
      <c r="J24" s="67"/>
      <c r="K24" s="67"/>
      <c r="L24" s="67"/>
      <c r="M24" s="67"/>
      <c r="N24" s="67"/>
      <c r="O24" s="67"/>
      <c r="V24" s="88"/>
      <c r="W24" s="88" t="s">
        <v>304</v>
      </c>
      <c r="X24" s="779">
        <f>X11/X$12</f>
        <v>0.5890113983558652</v>
      </c>
      <c r="Y24" s="779">
        <f>Y11/Y$12</f>
        <v>0.6930268037996533</v>
      </c>
      <c r="Z24" s="779"/>
      <c r="AA24" s="779">
        <f>AA11/AA$12</f>
        <v>0.6131917817910848</v>
      </c>
      <c r="AE24" s="797"/>
      <c r="AF24" s="782" t="s">
        <v>44</v>
      </c>
      <c r="AG24" s="783">
        <f>AG8/SUM($AE$8:$AG$8)</f>
        <v>0.2901466833023615</v>
      </c>
    </row>
    <row r="25" spans="1:33" ht="15">
      <c r="A25" s="66"/>
      <c r="B25" s="67"/>
      <c r="C25" s="780" t="s">
        <v>211</v>
      </c>
      <c r="D25" s="85" t="s">
        <v>44</v>
      </c>
      <c r="E25" s="781">
        <f>E7/(E$7+E$9+E$11)</f>
        <v>0.13472062838290885</v>
      </c>
      <c r="F25" s="781">
        <f>F7/(F$7+F$9+F$11)</f>
        <v>0.07418738305063974</v>
      </c>
      <c r="G25" s="781"/>
      <c r="H25" s="781">
        <f>H7/(H$7+H$9+H$11)</f>
        <v>0.12162198381659321</v>
      </c>
      <c r="I25" s="67"/>
      <c r="J25" s="67"/>
      <c r="K25" s="67"/>
      <c r="L25" s="67"/>
      <c r="M25" s="67"/>
      <c r="N25" s="67"/>
      <c r="O25" s="67"/>
      <c r="Q25" s="913"/>
      <c r="R25" s="913"/>
      <c r="V25" s="776" t="s">
        <v>211</v>
      </c>
      <c r="W25" s="67" t="s">
        <v>44</v>
      </c>
      <c r="X25" s="149">
        <f>X7/(X$7+X$9+X$11)</f>
        <v>0.027342404167280145</v>
      </c>
      <c r="Y25" s="149">
        <f>Y7/(Y$7+Y$9+Y$11)</f>
        <v>0.019983716265183075</v>
      </c>
      <c r="Z25" s="149"/>
      <c r="AA25" s="149">
        <f>AA7/(AA$7+AA$9+AA$11)</f>
        <v>0.0254112631192053</v>
      </c>
      <c r="AE25" s="795" t="s">
        <v>211</v>
      </c>
      <c r="AF25" s="67" t="s">
        <v>304</v>
      </c>
      <c r="AG25" s="149">
        <f>AE7/SUM($AE$7:$AG$7)</f>
        <v>0.9148286131022275</v>
      </c>
    </row>
    <row r="26" spans="1:33" ht="15">
      <c r="A26" s="66"/>
      <c r="B26" s="67"/>
      <c r="C26" s="85"/>
      <c r="D26" s="85" t="s">
        <v>43</v>
      </c>
      <c r="E26" s="781">
        <f>E9/(E$7+E$9+E$11)</f>
        <v>0.44233324558522213</v>
      </c>
      <c r="F26" s="781">
        <f>F9/(F$7+F$9+F$11)</f>
        <v>0.03606980739250444</v>
      </c>
      <c r="G26" s="781"/>
      <c r="H26" s="781">
        <f>H9/(H$7+H$9+H$11)</f>
        <v>0.34789072045095404</v>
      </c>
      <c r="I26" s="67"/>
      <c r="J26" s="67"/>
      <c r="K26" s="67"/>
      <c r="L26" s="67"/>
      <c r="M26" s="67"/>
      <c r="N26" s="67"/>
      <c r="O26" s="67"/>
      <c r="Q26" s="913"/>
      <c r="R26" s="913"/>
      <c r="V26" s="776"/>
      <c r="W26" s="67" t="s">
        <v>43</v>
      </c>
      <c r="X26" s="149">
        <f>X9/(X$7+X$9+X$11)</f>
        <v>0.05743520674402736</v>
      </c>
      <c r="Y26" s="149">
        <f>Y9/(Y$7+Y$9+Y$11)</f>
        <v>0.02066215734411607</v>
      </c>
      <c r="Z26" s="149"/>
      <c r="AA26" s="149">
        <f>AA9/(AA$7+AA$9+AA$11)</f>
        <v>0.04829006382639561</v>
      </c>
      <c r="AE26" s="796"/>
      <c r="AF26" s="67" t="s">
        <v>43</v>
      </c>
      <c r="AG26" s="149">
        <f>AF7/SUM($AE$7:$AG$7)</f>
        <v>0.055805395641137304</v>
      </c>
    </row>
    <row r="27" spans="1:33" ht="14.25">
      <c r="A27" s="66"/>
      <c r="B27" s="67"/>
      <c r="C27" s="85"/>
      <c r="D27" s="85" t="s">
        <v>304</v>
      </c>
      <c r="E27" s="781">
        <f>E11/(E$7+E$9+E$11)</f>
        <v>0.422946126031869</v>
      </c>
      <c r="F27" s="781">
        <f>F11/(F$7+F$9+F$11)</f>
        <v>0.8897428095568559</v>
      </c>
      <c r="G27" s="781"/>
      <c r="H27" s="781">
        <f>H11/(H$7+H$9+H$11)</f>
        <v>0.5304872957324527</v>
      </c>
      <c r="I27" s="67"/>
      <c r="J27" s="67"/>
      <c r="K27" s="67"/>
      <c r="L27" s="67"/>
      <c r="M27" s="67"/>
      <c r="N27" s="67"/>
      <c r="O27" s="67"/>
      <c r="P27" s="67"/>
      <c r="Q27" s="913"/>
      <c r="R27" s="913"/>
      <c r="V27" s="67"/>
      <c r="W27" s="67" t="s">
        <v>304</v>
      </c>
      <c r="X27" s="149">
        <f>X11/(X$7+X$9+X$11)</f>
        <v>0.9152223890886925</v>
      </c>
      <c r="Y27" s="149">
        <f>Y11/(Y$7+Y$9+Y$11)</f>
        <v>0.9593541263907008</v>
      </c>
      <c r="Z27" s="149"/>
      <c r="AA27" s="149">
        <f>AA11/(AA$7+AA$9+AA$11)</f>
        <v>0.9262986730543992</v>
      </c>
      <c r="AE27" s="796"/>
      <c r="AF27" s="67" t="s">
        <v>44</v>
      </c>
      <c r="AG27" s="149">
        <f>AG7/SUM($AE$7:$AG$7)</f>
        <v>0.029365991256635266</v>
      </c>
    </row>
    <row r="28" spans="1:18" ht="14.25">
      <c r="A28" s="66"/>
      <c r="B28" s="67"/>
      <c r="C28" s="67"/>
      <c r="D28" s="67"/>
      <c r="E28" s="67"/>
      <c r="F28" s="108"/>
      <c r="G28" s="67"/>
      <c r="H28" s="67"/>
      <c r="I28" s="67"/>
      <c r="J28" s="67"/>
      <c r="K28" s="67"/>
      <c r="L28" s="67"/>
      <c r="M28" s="67"/>
      <c r="N28" s="67"/>
      <c r="O28" s="67"/>
      <c r="P28" s="67"/>
      <c r="Q28" s="914"/>
      <c r="R28" s="914"/>
    </row>
    <row r="29" spans="1:18" ht="14.25">
      <c r="A29" s="66"/>
      <c r="B29" s="67"/>
      <c r="C29" s="67"/>
      <c r="D29" s="67"/>
      <c r="E29" s="67"/>
      <c r="F29" s="108"/>
      <c r="G29" s="67"/>
      <c r="H29" s="67"/>
      <c r="I29" s="67"/>
      <c r="J29" s="67"/>
      <c r="K29" s="67"/>
      <c r="L29" s="67"/>
      <c r="M29" s="67"/>
      <c r="N29" s="67"/>
      <c r="O29" s="67"/>
      <c r="P29" s="67"/>
      <c r="Q29" s="914"/>
      <c r="R29" s="914"/>
    </row>
    <row r="30" spans="1:18" s="73" customFormat="1" ht="20.25">
      <c r="A30" s="62" t="s">
        <v>288</v>
      </c>
      <c r="B30" s="72"/>
      <c r="D30" s="77"/>
      <c r="E30" s="72"/>
      <c r="F30" s="72"/>
      <c r="G30" s="72"/>
      <c r="H30" s="72"/>
      <c r="I30" s="72"/>
      <c r="J30" s="72"/>
      <c r="K30" s="72"/>
      <c r="L30" s="72"/>
      <c r="M30" s="72"/>
      <c r="N30" s="72"/>
      <c r="O30" s="72"/>
      <c r="P30" s="72"/>
      <c r="Q30" s="914"/>
      <c r="R30" s="914"/>
    </row>
    <row r="31" spans="1:18" ht="14.25">
      <c r="A31" s="66"/>
      <c r="B31" s="67"/>
      <c r="C31" s="67"/>
      <c r="D31" s="67"/>
      <c r="E31" s="67"/>
      <c r="F31" s="67"/>
      <c r="G31" s="67"/>
      <c r="H31" s="67"/>
      <c r="I31" s="67"/>
      <c r="J31" s="67"/>
      <c r="K31" s="67"/>
      <c r="L31" s="67"/>
      <c r="M31" s="67"/>
      <c r="N31" s="67"/>
      <c r="O31" s="67"/>
      <c r="P31" s="67"/>
      <c r="Q31" s="67"/>
      <c r="R31" s="67"/>
    </row>
    <row r="32" spans="1:36" ht="15" customHeight="1">
      <c r="A32" s="993" t="s">
        <v>289</v>
      </c>
      <c r="B32" s="979" t="s">
        <v>45</v>
      </c>
      <c r="C32" s="979"/>
      <c r="D32" s="979" t="s">
        <v>342</v>
      </c>
      <c r="E32" s="979"/>
      <c r="F32" s="979"/>
      <c r="G32" s="965" t="s">
        <v>290</v>
      </c>
      <c r="H32" s="965"/>
      <c r="I32" s="965"/>
      <c r="J32" s="965"/>
      <c r="K32" s="965"/>
      <c r="L32" s="965"/>
      <c r="M32" s="965"/>
      <c r="N32" s="965"/>
      <c r="O32" s="965"/>
      <c r="P32" s="965"/>
      <c r="Q32" s="965"/>
      <c r="R32" s="965"/>
      <c r="S32" s="965"/>
      <c r="T32" s="965"/>
      <c r="U32" s="965"/>
      <c r="V32" s="965"/>
      <c r="W32" s="965"/>
      <c r="X32" s="965"/>
      <c r="Y32" s="965"/>
      <c r="Z32" s="965"/>
      <c r="AA32" s="965"/>
      <c r="AB32" s="965"/>
      <c r="AC32" s="965"/>
      <c r="AD32" s="965"/>
      <c r="AE32" s="965"/>
      <c r="AF32" s="965"/>
      <c r="AG32" s="965"/>
      <c r="AH32" s="965"/>
      <c r="AI32" s="965"/>
      <c r="AJ32" s="966"/>
    </row>
    <row r="33" spans="1:36" ht="15" customHeight="1">
      <c r="A33" s="993"/>
      <c r="B33" s="979"/>
      <c r="C33" s="979"/>
      <c r="D33" s="979"/>
      <c r="E33" s="979"/>
      <c r="F33" s="979"/>
      <c r="G33" s="967">
        <v>1</v>
      </c>
      <c r="H33" s="967"/>
      <c r="I33" s="967"/>
      <c r="J33" s="968">
        <v>2</v>
      </c>
      <c r="K33" s="967"/>
      <c r="L33" s="969"/>
      <c r="M33" s="967">
        <v>3</v>
      </c>
      <c r="N33" s="967"/>
      <c r="O33" s="967"/>
      <c r="P33" s="968">
        <v>4</v>
      </c>
      <c r="Q33" s="967"/>
      <c r="R33" s="969"/>
      <c r="S33" s="967">
        <v>5</v>
      </c>
      <c r="T33" s="967"/>
      <c r="U33" s="967"/>
      <c r="V33" s="968">
        <v>6</v>
      </c>
      <c r="W33" s="967"/>
      <c r="X33" s="969"/>
      <c r="Y33" s="967">
        <v>7</v>
      </c>
      <c r="Z33" s="967"/>
      <c r="AA33" s="967"/>
      <c r="AB33" s="968">
        <v>8</v>
      </c>
      <c r="AC33" s="967"/>
      <c r="AD33" s="969"/>
      <c r="AE33" s="967">
        <v>9</v>
      </c>
      <c r="AF33" s="967"/>
      <c r="AG33" s="967"/>
      <c r="AH33" s="967">
        <v>10</v>
      </c>
      <c r="AI33" s="967"/>
      <c r="AJ33" s="967"/>
    </row>
    <row r="34" spans="1:36" ht="75" customHeight="1">
      <c r="A34" s="993"/>
      <c r="B34" s="707" t="s">
        <v>45</v>
      </c>
      <c r="C34" s="707" t="s">
        <v>291</v>
      </c>
      <c r="D34" s="707" t="s">
        <v>47</v>
      </c>
      <c r="E34" s="708" t="s">
        <v>292</v>
      </c>
      <c r="F34" s="707" t="s">
        <v>293</v>
      </c>
      <c r="G34" s="707" t="s">
        <v>47</v>
      </c>
      <c r="H34" s="708" t="s">
        <v>292</v>
      </c>
      <c r="I34" s="707" t="s">
        <v>293</v>
      </c>
      <c r="J34" s="709" t="s">
        <v>47</v>
      </c>
      <c r="K34" s="708" t="s">
        <v>292</v>
      </c>
      <c r="L34" s="710" t="s">
        <v>293</v>
      </c>
      <c r="M34" s="707" t="s">
        <v>47</v>
      </c>
      <c r="N34" s="708" t="s">
        <v>292</v>
      </c>
      <c r="O34" s="707" t="s">
        <v>293</v>
      </c>
      <c r="P34" s="709" t="s">
        <v>47</v>
      </c>
      <c r="Q34" s="708" t="s">
        <v>292</v>
      </c>
      <c r="R34" s="710" t="s">
        <v>293</v>
      </c>
      <c r="S34" s="707" t="s">
        <v>47</v>
      </c>
      <c r="T34" s="708" t="s">
        <v>292</v>
      </c>
      <c r="U34" s="707" t="s">
        <v>293</v>
      </c>
      <c r="V34" s="709" t="s">
        <v>47</v>
      </c>
      <c r="W34" s="708" t="s">
        <v>292</v>
      </c>
      <c r="X34" s="710" t="s">
        <v>293</v>
      </c>
      <c r="Y34" s="707" t="s">
        <v>47</v>
      </c>
      <c r="Z34" s="708" t="s">
        <v>292</v>
      </c>
      <c r="AA34" s="707" t="s">
        <v>293</v>
      </c>
      <c r="AB34" s="709" t="s">
        <v>47</v>
      </c>
      <c r="AC34" s="708" t="s">
        <v>292</v>
      </c>
      <c r="AD34" s="710" t="s">
        <v>293</v>
      </c>
      <c r="AE34" s="707" t="s">
        <v>47</v>
      </c>
      <c r="AF34" s="708" t="s">
        <v>292</v>
      </c>
      <c r="AG34" s="707" t="s">
        <v>293</v>
      </c>
      <c r="AH34" s="707" t="s">
        <v>47</v>
      </c>
      <c r="AI34" s="708" t="s">
        <v>292</v>
      </c>
      <c r="AJ34" s="707" t="s">
        <v>293</v>
      </c>
    </row>
    <row r="35" spans="1:36" ht="12.75">
      <c r="A35" s="711">
        <v>0</v>
      </c>
      <c r="B35" s="712">
        <v>0</v>
      </c>
      <c r="C35" s="713">
        <v>0</v>
      </c>
      <c r="D35" s="712">
        <v>0</v>
      </c>
      <c r="E35" s="714">
        <v>0</v>
      </c>
      <c r="F35" s="713">
        <v>591063.2807524243</v>
      </c>
      <c r="G35" s="712">
        <v>280070</v>
      </c>
      <c r="H35" s="714">
        <v>591063.2807524243</v>
      </c>
      <c r="I35" s="713">
        <v>0</v>
      </c>
      <c r="J35" s="714">
        <v>179204</v>
      </c>
      <c r="K35" s="714">
        <v>475998.98532579624</v>
      </c>
      <c r="L35" s="714">
        <v>115064.29542662803</v>
      </c>
      <c r="M35" s="712">
        <v>43917</v>
      </c>
      <c r="N35" s="714">
        <v>175755.56280663592</v>
      </c>
      <c r="O35" s="713">
        <v>415307.71794578835</v>
      </c>
      <c r="P35" s="714">
        <v>21313</v>
      </c>
      <c r="Q35" s="714">
        <v>102059.22280503144</v>
      </c>
      <c r="R35" s="714">
        <v>489004.0579473928</v>
      </c>
      <c r="S35" s="712">
        <v>6392</v>
      </c>
      <c r="T35" s="714">
        <v>38074.303915604105</v>
      </c>
      <c r="U35" s="713">
        <v>552988.9768368201</v>
      </c>
      <c r="V35" s="714">
        <v>2215</v>
      </c>
      <c r="W35" s="714">
        <v>15571.843874123817</v>
      </c>
      <c r="X35" s="714">
        <v>575491.4368783005</v>
      </c>
      <c r="Y35" s="712">
        <v>906</v>
      </c>
      <c r="Z35" s="714">
        <v>7265.04985070942</v>
      </c>
      <c r="AA35" s="713">
        <v>583798.2309017149</v>
      </c>
      <c r="AB35" s="714">
        <v>320</v>
      </c>
      <c r="AC35" s="714">
        <v>2991.8120336322977</v>
      </c>
      <c r="AD35" s="714">
        <v>588071.468718792</v>
      </c>
      <c r="AE35" s="712">
        <v>135</v>
      </c>
      <c r="AF35" s="714">
        <v>1438.2466191039366</v>
      </c>
      <c r="AG35" s="713">
        <v>589625.0341333203</v>
      </c>
      <c r="AH35" s="712">
        <v>75</v>
      </c>
      <c r="AI35" s="714">
        <v>874.4156843562087</v>
      </c>
      <c r="AJ35" s="713">
        <v>590188.865068068</v>
      </c>
    </row>
    <row r="36" spans="1:36" ht="12.75">
      <c r="A36" s="715">
        <v>1</v>
      </c>
      <c r="B36" s="716">
        <v>123557</v>
      </c>
      <c r="C36" s="717">
        <v>591063.28075213</v>
      </c>
      <c r="D36" s="716">
        <v>0</v>
      </c>
      <c r="E36" s="718">
        <v>0</v>
      </c>
      <c r="F36" s="717">
        <v>0</v>
      </c>
      <c r="G36" s="716">
        <v>0</v>
      </c>
      <c r="H36" s="718">
        <v>0</v>
      </c>
      <c r="I36" s="717">
        <v>0</v>
      </c>
      <c r="J36" s="718">
        <v>0</v>
      </c>
      <c r="K36" s="718">
        <v>0</v>
      </c>
      <c r="L36" s="718">
        <v>0</v>
      </c>
      <c r="M36" s="716">
        <v>0</v>
      </c>
      <c r="N36" s="718">
        <v>0</v>
      </c>
      <c r="O36" s="717">
        <v>0</v>
      </c>
      <c r="P36" s="718">
        <v>0</v>
      </c>
      <c r="Q36" s="718">
        <v>0</v>
      </c>
      <c r="R36" s="718">
        <v>0</v>
      </c>
      <c r="S36" s="716">
        <v>0</v>
      </c>
      <c r="T36" s="718">
        <v>0</v>
      </c>
      <c r="U36" s="717">
        <v>0</v>
      </c>
      <c r="V36" s="718">
        <v>0</v>
      </c>
      <c r="W36" s="718">
        <v>0</v>
      </c>
      <c r="X36" s="718">
        <v>0</v>
      </c>
      <c r="Y36" s="716">
        <v>0</v>
      </c>
      <c r="Z36" s="718">
        <v>0</v>
      </c>
      <c r="AA36" s="717">
        <v>0</v>
      </c>
      <c r="AB36" s="718">
        <v>0</v>
      </c>
      <c r="AC36" s="718">
        <v>0</v>
      </c>
      <c r="AD36" s="718">
        <v>0</v>
      </c>
      <c r="AE36" s="716">
        <v>0</v>
      </c>
      <c r="AF36" s="718">
        <v>0</v>
      </c>
      <c r="AG36" s="717">
        <v>0</v>
      </c>
      <c r="AH36" s="716">
        <v>0</v>
      </c>
      <c r="AI36" s="718">
        <v>0</v>
      </c>
      <c r="AJ36" s="717">
        <v>0</v>
      </c>
    </row>
    <row r="37" spans="1:36" ht="12.75">
      <c r="A37" s="715">
        <v>2</v>
      </c>
      <c r="B37" s="716">
        <v>100948</v>
      </c>
      <c r="C37" s="717">
        <v>565087.5792309658</v>
      </c>
      <c r="D37" s="716">
        <v>0</v>
      </c>
      <c r="E37" s="718">
        <v>0</v>
      </c>
      <c r="F37" s="717">
        <v>25975.701521163923</v>
      </c>
      <c r="G37" s="716">
        <v>22609</v>
      </c>
      <c r="H37" s="718">
        <v>25975.701521110645</v>
      </c>
      <c r="I37" s="717">
        <v>5.3278199629858136E-08</v>
      </c>
      <c r="J37" s="718">
        <v>0</v>
      </c>
      <c r="K37" s="718">
        <v>0</v>
      </c>
      <c r="L37" s="718">
        <v>25975.701521163923</v>
      </c>
      <c r="M37" s="716">
        <v>0</v>
      </c>
      <c r="N37" s="718">
        <v>0</v>
      </c>
      <c r="O37" s="717">
        <v>25975.701521163923</v>
      </c>
      <c r="P37" s="718">
        <v>0</v>
      </c>
      <c r="Q37" s="718">
        <v>0</v>
      </c>
      <c r="R37" s="718">
        <v>25975.701521163923</v>
      </c>
      <c r="S37" s="716">
        <v>0</v>
      </c>
      <c r="T37" s="718">
        <v>0</v>
      </c>
      <c r="U37" s="717">
        <v>25975.701521163923</v>
      </c>
      <c r="V37" s="718">
        <v>0</v>
      </c>
      <c r="W37" s="718">
        <v>0</v>
      </c>
      <c r="X37" s="718">
        <v>25975.701521163923</v>
      </c>
      <c r="Y37" s="716">
        <v>0</v>
      </c>
      <c r="Z37" s="718">
        <v>0</v>
      </c>
      <c r="AA37" s="717">
        <v>25975.701521163923</v>
      </c>
      <c r="AB37" s="718">
        <v>0</v>
      </c>
      <c r="AC37" s="718">
        <v>0</v>
      </c>
      <c r="AD37" s="718">
        <v>25975.701521163923</v>
      </c>
      <c r="AE37" s="716">
        <v>0</v>
      </c>
      <c r="AF37" s="718">
        <v>0</v>
      </c>
      <c r="AG37" s="717">
        <v>25975.701521163923</v>
      </c>
      <c r="AH37" s="716">
        <v>0</v>
      </c>
      <c r="AI37" s="718">
        <v>0</v>
      </c>
      <c r="AJ37" s="717">
        <v>25975.701521163923</v>
      </c>
    </row>
    <row r="38" spans="1:36" ht="12.75">
      <c r="A38" s="715">
        <v>3</v>
      </c>
      <c r="B38" s="716">
        <v>68175</v>
      </c>
      <c r="C38" s="717">
        <v>491631.97186506697</v>
      </c>
      <c r="D38" s="716">
        <v>0</v>
      </c>
      <c r="E38" s="718">
        <v>0</v>
      </c>
      <c r="F38" s="717">
        <v>99431.30888709071</v>
      </c>
      <c r="G38" s="716">
        <v>61001</v>
      </c>
      <c r="H38" s="718">
        <v>99431.3088868773</v>
      </c>
      <c r="I38" s="717">
        <v>2.1340383682399988E-07</v>
      </c>
      <c r="J38" s="718">
        <v>27154</v>
      </c>
      <c r="K38" s="718">
        <v>60560.235658671765</v>
      </c>
      <c r="L38" s="718">
        <v>38871.07322841894</v>
      </c>
      <c r="M38" s="716">
        <v>0</v>
      </c>
      <c r="N38" s="718">
        <v>0</v>
      </c>
      <c r="O38" s="717">
        <v>99431.30888709071</v>
      </c>
      <c r="P38" s="718">
        <v>0</v>
      </c>
      <c r="Q38" s="718">
        <v>0</v>
      </c>
      <c r="R38" s="718">
        <v>99431.30888709071</v>
      </c>
      <c r="S38" s="716">
        <v>0</v>
      </c>
      <c r="T38" s="718">
        <v>0</v>
      </c>
      <c r="U38" s="717">
        <v>99431.30888709071</v>
      </c>
      <c r="V38" s="718">
        <v>0</v>
      </c>
      <c r="W38" s="718">
        <v>0</v>
      </c>
      <c r="X38" s="718">
        <v>99431.30888709071</v>
      </c>
      <c r="Y38" s="716">
        <v>0</v>
      </c>
      <c r="Z38" s="718">
        <v>0</v>
      </c>
      <c r="AA38" s="717">
        <v>99431.30888709071</v>
      </c>
      <c r="AB38" s="718">
        <v>0</v>
      </c>
      <c r="AC38" s="718">
        <v>0</v>
      </c>
      <c r="AD38" s="718">
        <v>99431.30888709071</v>
      </c>
      <c r="AE38" s="716">
        <v>0</v>
      </c>
      <c r="AF38" s="718">
        <v>0</v>
      </c>
      <c r="AG38" s="717">
        <v>99431.30888709071</v>
      </c>
      <c r="AH38" s="716">
        <v>0</v>
      </c>
      <c r="AI38" s="718">
        <v>0</v>
      </c>
      <c r="AJ38" s="717">
        <v>99431.30888709071</v>
      </c>
    </row>
    <row r="39" spans="1:36" ht="12.75">
      <c r="A39" s="715">
        <v>4</v>
      </c>
      <c r="B39" s="716">
        <v>56508</v>
      </c>
      <c r="C39" s="717">
        <v>453453.170658559</v>
      </c>
      <c r="D39" s="716">
        <v>0</v>
      </c>
      <c r="E39" s="718">
        <v>0</v>
      </c>
      <c r="F39" s="717">
        <v>137610.11009362905</v>
      </c>
      <c r="G39" s="716">
        <v>83644</v>
      </c>
      <c r="H39" s="718">
        <v>137610.11009336635</v>
      </c>
      <c r="I39" s="717">
        <v>2.626911737024784E-07</v>
      </c>
      <c r="J39" s="718">
        <v>37185</v>
      </c>
      <c r="K39" s="718">
        <v>84935.04331385947</v>
      </c>
      <c r="L39" s="718">
        <v>52675.06677976958</v>
      </c>
      <c r="M39" s="716">
        <v>2327</v>
      </c>
      <c r="N39" s="718">
        <v>7604.12938327658</v>
      </c>
      <c r="O39" s="717">
        <v>130005.98071035247</v>
      </c>
      <c r="P39" s="718">
        <v>0</v>
      </c>
      <c r="Q39" s="718">
        <v>0</v>
      </c>
      <c r="R39" s="718">
        <v>137610.11009362905</v>
      </c>
      <c r="S39" s="716">
        <v>0</v>
      </c>
      <c r="T39" s="718">
        <v>0</v>
      </c>
      <c r="U39" s="717">
        <v>137610.11009362905</v>
      </c>
      <c r="V39" s="718">
        <v>0</v>
      </c>
      <c r="W39" s="718">
        <v>0</v>
      </c>
      <c r="X39" s="718">
        <v>137610.11009362905</v>
      </c>
      <c r="Y39" s="716">
        <v>0</v>
      </c>
      <c r="Z39" s="718">
        <v>0</v>
      </c>
      <c r="AA39" s="717">
        <v>137610.11009362905</v>
      </c>
      <c r="AB39" s="718">
        <v>0</v>
      </c>
      <c r="AC39" s="718">
        <v>0</v>
      </c>
      <c r="AD39" s="718">
        <v>137610.11009362905</v>
      </c>
      <c r="AE39" s="716">
        <v>0</v>
      </c>
      <c r="AF39" s="718">
        <v>0</v>
      </c>
      <c r="AG39" s="717">
        <v>137610.11009362905</v>
      </c>
      <c r="AH39" s="716">
        <v>0</v>
      </c>
      <c r="AI39" s="718">
        <v>0</v>
      </c>
      <c r="AJ39" s="717">
        <v>137610.11009362905</v>
      </c>
    </row>
    <row r="40" spans="1:36" ht="12.75">
      <c r="A40" s="715">
        <v>5</v>
      </c>
      <c r="B40" s="716">
        <v>42106</v>
      </c>
      <c r="C40" s="717">
        <v>391624.7523868136</v>
      </c>
      <c r="D40" s="716">
        <v>0</v>
      </c>
      <c r="E40" s="718">
        <v>0</v>
      </c>
      <c r="F40" s="717">
        <v>199438.52836541907</v>
      </c>
      <c r="G40" s="716">
        <v>115094</v>
      </c>
      <c r="H40" s="718">
        <v>199438.5283652094</v>
      </c>
      <c r="I40" s="717">
        <v>2.096639946103096E-07</v>
      </c>
      <c r="J40" s="718">
        <v>58177</v>
      </c>
      <c r="K40" s="718">
        <v>134716.31230985947</v>
      </c>
      <c r="L40" s="718">
        <v>64722.216055559606</v>
      </c>
      <c r="M40" s="716">
        <v>4654</v>
      </c>
      <c r="N40" s="718">
        <v>16624.937654989557</v>
      </c>
      <c r="O40" s="717">
        <v>182813.5907104295</v>
      </c>
      <c r="P40" s="718">
        <v>1399</v>
      </c>
      <c r="Q40" s="718">
        <v>6021.360444426767</v>
      </c>
      <c r="R40" s="718">
        <v>193417.1679209923</v>
      </c>
      <c r="S40" s="716">
        <v>0</v>
      </c>
      <c r="T40" s="718">
        <v>0</v>
      </c>
      <c r="U40" s="717">
        <v>199438.52836541907</v>
      </c>
      <c r="V40" s="718">
        <v>0</v>
      </c>
      <c r="W40" s="718">
        <v>0</v>
      </c>
      <c r="X40" s="718">
        <v>199438.52836541907</v>
      </c>
      <c r="Y40" s="716">
        <v>0</v>
      </c>
      <c r="Z40" s="718">
        <v>0</v>
      </c>
      <c r="AA40" s="717">
        <v>199438.52836541907</v>
      </c>
      <c r="AB40" s="718">
        <v>0</v>
      </c>
      <c r="AC40" s="718">
        <v>0</v>
      </c>
      <c r="AD40" s="718">
        <v>199438.52836541907</v>
      </c>
      <c r="AE40" s="716">
        <v>0</v>
      </c>
      <c r="AF40" s="718">
        <v>0</v>
      </c>
      <c r="AG40" s="717">
        <v>199438.52836541907</v>
      </c>
      <c r="AH40" s="716">
        <v>0</v>
      </c>
      <c r="AI40" s="718">
        <v>0</v>
      </c>
      <c r="AJ40" s="717">
        <v>199438.52836541907</v>
      </c>
    </row>
    <row r="41" spans="1:36" ht="12.75">
      <c r="A41" s="715">
        <v>6</v>
      </c>
      <c r="B41" s="716">
        <v>33311</v>
      </c>
      <c r="C41" s="717">
        <v>344074.3772861837</v>
      </c>
      <c r="D41" s="716">
        <v>0</v>
      </c>
      <c r="E41" s="718">
        <v>0</v>
      </c>
      <c r="F41" s="717">
        <v>246988.9034661039</v>
      </c>
      <c r="G41" s="716">
        <v>139550</v>
      </c>
      <c r="H41" s="718">
        <v>246988.90346588628</v>
      </c>
      <c r="I41" s="717">
        <v>2.176093403249979E-07</v>
      </c>
      <c r="J41" s="718">
        <v>72036</v>
      </c>
      <c r="K41" s="718">
        <v>170145.48103955147</v>
      </c>
      <c r="L41" s="718">
        <v>76843.42242655242</v>
      </c>
      <c r="M41" s="716">
        <v>7448</v>
      </c>
      <c r="N41" s="718">
        <v>26838.92640009823</v>
      </c>
      <c r="O41" s="717">
        <v>220149.97706600567</v>
      </c>
      <c r="P41" s="718">
        <v>2207</v>
      </c>
      <c r="Q41" s="718">
        <v>9782.977369988546</v>
      </c>
      <c r="R41" s="718">
        <v>237205.92609611535</v>
      </c>
      <c r="S41" s="716">
        <v>265</v>
      </c>
      <c r="T41" s="718">
        <v>1423.1459153548094</v>
      </c>
      <c r="U41" s="717">
        <v>245565.75755074908</v>
      </c>
      <c r="V41" s="718">
        <v>0</v>
      </c>
      <c r="W41" s="718">
        <v>0</v>
      </c>
      <c r="X41" s="718">
        <v>246988.9034661039</v>
      </c>
      <c r="Y41" s="716">
        <v>0</v>
      </c>
      <c r="Z41" s="718">
        <v>0</v>
      </c>
      <c r="AA41" s="717">
        <v>246988.9034661039</v>
      </c>
      <c r="AB41" s="718">
        <v>0</v>
      </c>
      <c r="AC41" s="718">
        <v>0</v>
      </c>
      <c r="AD41" s="718">
        <v>246988.9034661039</v>
      </c>
      <c r="AE41" s="716">
        <v>0</v>
      </c>
      <c r="AF41" s="718">
        <v>0</v>
      </c>
      <c r="AG41" s="717">
        <v>246988.9034661039</v>
      </c>
      <c r="AH41" s="716">
        <v>0</v>
      </c>
      <c r="AI41" s="718">
        <v>0</v>
      </c>
      <c r="AJ41" s="717">
        <v>246988.9034661039</v>
      </c>
    </row>
    <row r="42" spans="1:36" ht="12.75">
      <c r="A42" s="715">
        <v>7</v>
      </c>
      <c r="B42" s="716">
        <v>26815</v>
      </c>
      <c r="C42" s="717">
        <v>302850.5817420598</v>
      </c>
      <c r="D42" s="716">
        <v>0</v>
      </c>
      <c r="E42" s="718">
        <v>0</v>
      </c>
      <c r="F42" s="717">
        <v>288212.6990102499</v>
      </c>
      <c r="G42" s="716">
        <v>159692</v>
      </c>
      <c r="H42" s="718">
        <v>288212.69900997815</v>
      </c>
      <c r="I42" s="717">
        <v>2.717715688049793E-07</v>
      </c>
      <c r="J42" s="718">
        <v>86387</v>
      </c>
      <c r="K42" s="718">
        <v>205010.72992366095</v>
      </c>
      <c r="L42" s="718">
        <v>83201.96908658897</v>
      </c>
      <c r="M42" s="716">
        <v>9970</v>
      </c>
      <c r="N42" s="718">
        <v>36336.82264422863</v>
      </c>
      <c r="O42" s="717">
        <v>251875.8763660213</v>
      </c>
      <c r="P42" s="718">
        <v>3305</v>
      </c>
      <c r="Q42" s="718">
        <v>14652.277275879325</v>
      </c>
      <c r="R42" s="718">
        <v>273560.4217343706</v>
      </c>
      <c r="S42" s="716">
        <v>407</v>
      </c>
      <c r="T42" s="718">
        <v>2229.888890935751</v>
      </c>
      <c r="U42" s="717">
        <v>285982.8101193142</v>
      </c>
      <c r="V42" s="718">
        <v>51</v>
      </c>
      <c r="W42" s="718">
        <v>323.98114869177283</v>
      </c>
      <c r="X42" s="718">
        <v>287888.71786155814</v>
      </c>
      <c r="Y42" s="716">
        <v>0</v>
      </c>
      <c r="Z42" s="718">
        <v>0</v>
      </c>
      <c r="AA42" s="717">
        <v>288212.6990102499</v>
      </c>
      <c r="AB42" s="718">
        <v>0</v>
      </c>
      <c r="AC42" s="718">
        <v>0</v>
      </c>
      <c r="AD42" s="718">
        <v>288212.6990102499</v>
      </c>
      <c r="AE42" s="716">
        <v>0</v>
      </c>
      <c r="AF42" s="718">
        <v>0</v>
      </c>
      <c r="AG42" s="717">
        <v>288212.6990102499</v>
      </c>
      <c r="AH42" s="716">
        <v>0</v>
      </c>
      <c r="AI42" s="718">
        <v>0</v>
      </c>
      <c r="AJ42" s="717">
        <v>288212.6990102499</v>
      </c>
    </row>
    <row r="43" spans="1:36" s="73" customFormat="1" ht="12.75">
      <c r="A43" s="715">
        <v>8</v>
      </c>
      <c r="B43" s="716">
        <v>21320</v>
      </c>
      <c r="C43" s="717">
        <v>262631.7721689797</v>
      </c>
      <c r="D43" s="716">
        <v>0</v>
      </c>
      <c r="E43" s="718">
        <v>0</v>
      </c>
      <c r="F43" s="717">
        <v>328431.50858335703</v>
      </c>
      <c r="G43" s="716">
        <v>178719</v>
      </c>
      <c r="H43" s="718">
        <v>328431.5085830725</v>
      </c>
      <c r="I43" s="717">
        <v>2.845190465450287E-07</v>
      </c>
      <c r="J43" s="718">
        <v>98942</v>
      </c>
      <c r="K43" s="718">
        <v>237784.02130799662</v>
      </c>
      <c r="L43" s="718">
        <v>90647.48727536041</v>
      </c>
      <c r="M43" s="716">
        <v>12971</v>
      </c>
      <c r="N43" s="718">
        <v>47598.050791162874</v>
      </c>
      <c r="O43" s="717">
        <v>280833.45779219415</v>
      </c>
      <c r="P43" s="718">
        <v>4445</v>
      </c>
      <c r="Q43" s="718">
        <v>19896.580666314272</v>
      </c>
      <c r="R43" s="718">
        <v>308534.92791704275</v>
      </c>
      <c r="S43" s="716">
        <v>656</v>
      </c>
      <c r="T43" s="718">
        <v>3638.235819620275</v>
      </c>
      <c r="U43" s="717">
        <v>324793.2727637368</v>
      </c>
      <c r="V43" s="718">
        <v>101</v>
      </c>
      <c r="W43" s="718">
        <v>664.9279883414788</v>
      </c>
      <c r="X43" s="718">
        <v>327766.58059501555</v>
      </c>
      <c r="Y43" s="716">
        <v>26</v>
      </c>
      <c r="Z43" s="718">
        <v>189.59814620857182</v>
      </c>
      <c r="AA43" s="717">
        <v>328241.9104371485</v>
      </c>
      <c r="AB43" s="718">
        <v>0</v>
      </c>
      <c r="AC43" s="718">
        <v>0</v>
      </c>
      <c r="AD43" s="718">
        <v>328431.50858335703</v>
      </c>
      <c r="AE43" s="716">
        <v>0</v>
      </c>
      <c r="AF43" s="718">
        <v>0</v>
      </c>
      <c r="AG43" s="717">
        <v>328431.50858335703</v>
      </c>
      <c r="AH43" s="716">
        <v>0</v>
      </c>
      <c r="AI43" s="718">
        <v>0</v>
      </c>
      <c r="AJ43" s="717">
        <v>328431.50858335703</v>
      </c>
    </row>
    <row r="44" spans="1:36" s="73" customFormat="1" ht="12.75">
      <c r="A44" s="715">
        <v>9</v>
      </c>
      <c r="B44" s="716">
        <v>16612</v>
      </c>
      <c r="C44" s="717">
        <v>223131.85297618396</v>
      </c>
      <c r="D44" s="716">
        <v>0</v>
      </c>
      <c r="E44" s="718">
        <v>0</v>
      </c>
      <c r="F44" s="717">
        <v>367931.4277761701</v>
      </c>
      <c r="G44" s="716">
        <v>196746</v>
      </c>
      <c r="H44" s="718">
        <v>367931.4277759279</v>
      </c>
      <c r="I44" s="717">
        <v>2.422020770609379E-07</v>
      </c>
      <c r="J44" s="718">
        <v>111818</v>
      </c>
      <c r="K44" s="718">
        <v>271316.13524123485</v>
      </c>
      <c r="L44" s="718">
        <v>96615.29253493523</v>
      </c>
      <c r="M44" s="716">
        <v>15972</v>
      </c>
      <c r="N44" s="718">
        <v>59192.414817315475</v>
      </c>
      <c r="O44" s="717">
        <v>308739.0129588546</v>
      </c>
      <c r="P44" s="718">
        <v>5827</v>
      </c>
      <c r="Q44" s="718">
        <v>26219.88472286116</v>
      </c>
      <c r="R44" s="718">
        <v>341711.5430533089</v>
      </c>
      <c r="S44" s="716">
        <v>937</v>
      </c>
      <c r="T44" s="718">
        <v>5253.803146206628</v>
      </c>
      <c r="U44" s="717">
        <v>362677.6246299634</v>
      </c>
      <c r="V44" s="718">
        <v>169</v>
      </c>
      <c r="W44" s="718">
        <v>1117.9883793688507</v>
      </c>
      <c r="X44" s="718">
        <v>366813.43939680123</v>
      </c>
      <c r="Y44" s="716">
        <v>45</v>
      </c>
      <c r="Z44" s="718">
        <v>331.8438347165891</v>
      </c>
      <c r="AA44" s="717">
        <v>367599.5839414535</v>
      </c>
      <c r="AB44" s="718">
        <v>4</v>
      </c>
      <c r="AC44" s="718">
        <v>34.09031816043879</v>
      </c>
      <c r="AD44" s="718">
        <v>367897.33745800966</v>
      </c>
      <c r="AE44" s="716">
        <v>0</v>
      </c>
      <c r="AF44" s="718">
        <v>0</v>
      </c>
      <c r="AG44" s="717">
        <v>367931.4277761701</v>
      </c>
      <c r="AH44" s="716">
        <v>0</v>
      </c>
      <c r="AI44" s="718">
        <v>0</v>
      </c>
      <c r="AJ44" s="717">
        <v>367931.4277761701</v>
      </c>
    </row>
    <row r="45" spans="1:36" ht="12.75">
      <c r="A45" s="719">
        <v>10</v>
      </c>
      <c r="B45" s="720">
        <v>13431</v>
      </c>
      <c r="C45" s="721">
        <v>193199.9082502194</v>
      </c>
      <c r="D45" s="720">
        <v>0</v>
      </c>
      <c r="E45" s="722">
        <v>0</v>
      </c>
      <c r="F45" s="721">
        <v>397863.3725021507</v>
      </c>
      <c r="G45" s="720">
        <v>210133</v>
      </c>
      <c r="H45" s="722">
        <v>397863.37250193703</v>
      </c>
      <c r="I45" s="721">
        <v>2.1368032321333885E-07</v>
      </c>
      <c r="J45" s="722">
        <v>121673</v>
      </c>
      <c r="K45" s="722">
        <v>297312.70207775425</v>
      </c>
      <c r="L45" s="722">
        <v>100550.67042439646</v>
      </c>
      <c r="M45" s="720">
        <v>18726</v>
      </c>
      <c r="N45" s="722">
        <v>69636.01958835161</v>
      </c>
      <c r="O45" s="721">
        <v>328227.3529137991</v>
      </c>
      <c r="P45" s="722">
        <v>6939</v>
      </c>
      <c r="Q45" s="722">
        <v>31321.298575824476</v>
      </c>
      <c r="R45" s="722">
        <v>366542.07392632624</v>
      </c>
      <c r="S45" s="720">
        <v>1182</v>
      </c>
      <c r="T45" s="722">
        <v>6631.102544903512</v>
      </c>
      <c r="U45" s="721">
        <v>391232.2699572472</v>
      </c>
      <c r="V45" s="722">
        <v>218</v>
      </c>
      <c r="W45" s="722">
        <v>1449.984857476493</v>
      </c>
      <c r="X45" s="722">
        <v>396413.3876446742</v>
      </c>
      <c r="Y45" s="720">
        <v>60</v>
      </c>
      <c r="Z45" s="722">
        <v>446.1372529598326</v>
      </c>
      <c r="AA45" s="721">
        <v>397417.2352491909</v>
      </c>
      <c r="AB45" s="722">
        <v>6</v>
      </c>
      <c r="AC45" s="722">
        <v>52.61294878797695</v>
      </c>
      <c r="AD45" s="722">
        <v>397810.75955336273</v>
      </c>
      <c r="AE45" s="720">
        <v>2</v>
      </c>
      <c r="AF45" s="722">
        <v>18.52263062753816</v>
      </c>
      <c r="AG45" s="721">
        <v>397844.84987152315</v>
      </c>
      <c r="AH45" s="720">
        <v>0</v>
      </c>
      <c r="AI45" s="722">
        <v>0</v>
      </c>
      <c r="AJ45" s="721">
        <v>397863.3725021507</v>
      </c>
    </row>
    <row r="46" spans="1:36" ht="12.75">
      <c r="A46" s="715">
        <v>11</v>
      </c>
      <c r="B46" s="716">
        <v>10517</v>
      </c>
      <c r="C46" s="717">
        <v>162808.526619638</v>
      </c>
      <c r="D46" s="716">
        <v>0</v>
      </c>
      <c r="E46" s="718">
        <v>0</v>
      </c>
      <c r="F46" s="717">
        <v>428254.7541327402</v>
      </c>
      <c r="G46" s="716">
        <v>223224</v>
      </c>
      <c r="H46" s="718">
        <v>428254.7541325541</v>
      </c>
      <c r="I46" s="717">
        <v>1.860898919403553E-07</v>
      </c>
      <c r="J46" s="718">
        <v>131690</v>
      </c>
      <c r="K46" s="718">
        <v>324122.88191769406</v>
      </c>
      <c r="L46" s="718">
        <v>104131.87221504614</v>
      </c>
      <c r="M46" s="716">
        <v>21418</v>
      </c>
      <c r="N46" s="718">
        <v>80177.26185113333</v>
      </c>
      <c r="O46" s="717">
        <v>348077.4922816069</v>
      </c>
      <c r="P46" s="718">
        <v>8217</v>
      </c>
      <c r="Q46" s="718">
        <v>37229.14079562088</v>
      </c>
      <c r="R46" s="718">
        <v>391025.61333711934</v>
      </c>
      <c r="S46" s="716">
        <v>1477</v>
      </c>
      <c r="T46" s="718">
        <v>8326.763868430106</v>
      </c>
      <c r="U46" s="717">
        <v>419927.9902643101</v>
      </c>
      <c r="V46" s="718">
        <v>298</v>
      </c>
      <c r="W46" s="718">
        <v>1981.535094721217</v>
      </c>
      <c r="X46" s="718">
        <v>426273.21903801896</v>
      </c>
      <c r="Y46" s="716">
        <v>78</v>
      </c>
      <c r="Z46" s="718">
        <v>586.2594182170641</v>
      </c>
      <c r="AA46" s="717">
        <v>427668.49471452314</v>
      </c>
      <c r="AB46" s="718">
        <v>12</v>
      </c>
      <c r="AC46" s="718">
        <v>104.33306910692956</v>
      </c>
      <c r="AD46" s="718">
        <v>428150.4210636333</v>
      </c>
      <c r="AE46" s="716">
        <v>3</v>
      </c>
      <c r="AF46" s="718">
        <v>28.696528513082157</v>
      </c>
      <c r="AG46" s="717">
        <v>428226.0576042271</v>
      </c>
      <c r="AH46" s="716">
        <v>1</v>
      </c>
      <c r="AI46" s="718">
        <v>10.173897885544</v>
      </c>
      <c r="AJ46" s="717">
        <v>428244.58023485466</v>
      </c>
    </row>
    <row r="47" spans="1:36" ht="12.75">
      <c r="A47" s="715">
        <v>12</v>
      </c>
      <c r="B47" s="716">
        <v>8252</v>
      </c>
      <c r="C47" s="717">
        <v>136769.0068857762</v>
      </c>
      <c r="D47" s="716">
        <v>0</v>
      </c>
      <c r="E47" s="718">
        <v>0</v>
      </c>
      <c r="F47" s="717">
        <v>454294.2738666135</v>
      </c>
      <c r="G47" s="716">
        <v>234047</v>
      </c>
      <c r="H47" s="718">
        <v>454294.2738664326</v>
      </c>
      <c r="I47" s="717">
        <v>1.809094101190567E-07</v>
      </c>
      <c r="J47" s="718">
        <v>139937</v>
      </c>
      <c r="K47" s="718">
        <v>347145.98720180406</v>
      </c>
      <c r="L47" s="718">
        <v>107148.28666480945</v>
      </c>
      <c r="M47" s="716">
        <v>24076</v>
      </c>
      <c r="N47" s="718">
        <v>90620.79999870174</v>
      </c>
      <c r="O47" s="717">
        <v>363673.4738679118</v>
      </c>
      <c r="P47" s="718">
        <v>9460</v>
      </c>
      <c r="Q47" s="718">
        <v>43049.37522461056</v>
      </c>
      <c r="R47" s="718">
        <v>411244.89864200295</v>
      </c>
      <c r="S47" s="716">
        <v>1785</v>
      </c>
      <c r="T47" s="718">
        <v>10110.87367478291</v>
      </c>
      <c r="U47" s="717">
        <v>444183.4001918306</v>
      </c>
      <c r="V47" s="718">
        <v>380</v>
      </c>
      <c r="W47" s="718">
        <v>2539.9475178751545</v>
      </c>
      <c r="X47" s="718">
        <v>451754.32634873834</v>
      </c>
      <c r="Y47" s="716">
        <v>106</v>
      </c>
      <c r="Z47" s="718">
        <v>801.116917831325</v>
      </c>
      <c r="AA47" s="717">
        <v>453493.1569487822</v>
      </c>
      <c r="AB47" s="718">
        <v>23</v>
      </c>
      <c r="AC47" s="718">
        <v>197.43495191019866</v>
      </c>
      <c r="AD47" s="718">
        <v>454096.8389147033</v>
      </c>
      <c r="AE47" s="716">
        <v>4</v>
      </c>
      <c r="AF47" s="718">
        <v>37.98576538927007</v>
      </c>
      <c r="AG47" s="717">
        <v>454256.2881012242</v>
      </c>
      <c r="AH47" s="716">
        <v>1</v>
      </c>
      <c r="AI47" s="718">
        <v>10.173897885544</v>
      </c>
      <c r="AJ47" s="717">
        <v>454284.09996872797</v>
      </c>
    </row>
    <row r="48" spans="1:36" ht="12.75">
      <c r="A48" s="715">
        <v>13</v>
      </c>
      <c r="B48" s="716">
        <v>6533</v>
      </c>
      <c r="C48" s="717">
        <v>115226.1394638365</v>
      </c>
      <c r="D48" s="716">
        <v>0</v>
      </c>
      <c r="E48" s="718">
        <v>0</v>
      </c>
      <c r="F48" s="717">
        <v>475837.1412885609</v>
      </c>
      <c r="G48" s="716">
        <v>242747</v>
      </c>
      <c r="H48" s="718">
        <v>475837.1412883721</v>
      </c>
      <c r="I48" s="717">
        <v>1.887674443423748E-07</v>
      </c>
      <c r="J48" s="718">
        <v>147002</v>
      </c>
      <c r="K48" s="718">
        <v>366814.01964680094</v>
      </c>
      <c r="L48" s="718">
        <v>109023.12164175994</v>
      </c>
      <c r="M48" s="716">
        <v>26449</v>
      </c>
      <c r="N48" s="718">
        <v>100003.94114934672</v>
      </c>
      <c r="O48" s="717">
        <v>375833.20013921417</v>
      </c>
      <c r="P48" s="718">
        <v>10626</v>
      </c>
      <c r="Q48" s="718">
        <v>48478.574445655955</v>
      </c>
      <c r="R48" s="718">
        <v>427358.5668429049</v>
      </c>
      <c r="S48" s="716">
        <v>2079</v>
      </c>
      <c r="T48" s="718">
        <v>11808.904879731694</v>
      </c>
      <c r="U48" s="717">
        <v>464028.23640882917</v>
      </c>
      <c r="V48" s="718">
        <v>469</v>
      </c>
      <c r="W48" s="718">
        <v>3137.030218146333</v>
      </c>
      <c r="X48" s="718">
        <v>472700.11107041454</v>
      </c>
      <c r="Y48" s="716">
        <v>128</v>
      </c>
      <c r="Z48" s="718">
        <v>969.5745227289104</v>
      </c>
      <c r="AA48" s="717">
        <v>474867.56676583196</v>
      </c>
      <c r="AB48" s="718">
        <v>27</v>
      </c>
      <c r="AC48" s="718">
        <v>234.34954801987197</v>
      </c>
      <c r="AD48" s="718">
        <v>475602.791740541</v>
      </c>
      <c r="AE48" s="716">
        <v>6</v>
      </c>
      <c r="AF48" s="718">
        <v>57.782902657744465</v>
      </c>
      <c r="AG48" s="717">
        <v>475779.3583859031</v>
      </c>
      <c r="AH48" s="716">
        <v>2</v>
      </c>
      <c r="AI48" s="718">
        <v>20.1938405465087</v>
      </c>
      <c r="AJ48" s="717">
        <v>475816.94744801434</v>
      </c>
    </row>
    <row r="49" spans="1:36" ht="12.75">
      <c r="A49" s="715">
        <v>14</v>
      </c>
      <c r="B49" s="716">
        <v>5316</v>
      </c>
      <c r="C49" s="717">
        <v>98804.82746362123</v>
      </c>
      <c r="D49" s="716">
        <v>0</v>
      </c>
      <c r="E49" s="718">
        <v>0</v>
      </c>
      <c r="F49" s="717">
        <v>492258.4532887821</v>
      </c>
      <c r="G49" s="716">
        <v>249152</v>
      </c>
      <c r="H49" s="718">
        <v>492258.45328858483</v>
      </c>
      <c r="I49" s="717">
        <v>1.9726576283574104E-07</v>
      </c>
      <c r="J49" s="718">
        <v>152199</v>
      </c>
      <c r="K49" s="718">
        <v>381816.41163337056</v>
      </c>
      <c r="L49" s="718">
        <v>110442.04165541154</v>
      </c>
      <c r="M49" s="716">
        <v>28386</v>
      </c>
      <c r="N49" s="718">
        <v>107683.38759668484</v>
      </c>
      <c r="O49" s="717">
        <v>384575.06569209724</v>
      </c>
      <c r="P49" s="718">
        <v>11616</v>
      </c>
      <c r="Q49" s="718">
        <v>53102.471966785364</v>
      </c>
      <c r="R49" s="718">
        <v>439155.9813219967</v>
      </c>
      <c r="S49" s="716">
        <v>2355</v>
      </c>
      <c r="T49" s="718">
        <v>13388.422385766286</v>
      </c>
      <c r="U49" s="717">
        <v>478870.0309030158</v>
      </c>
      <c r="V49" s="718">
        <v>541</v>
      </c>
      <c r="W49" s="718">
        <v>3620.6271311146133</v>
      </c>
      <c r="X49" s="718">
        <v>488637.8261576675</v>
      </c>
      <c r="Y49" s="716">
        <v>151</v>
      </c>
      <c r="Z49" s="718">
        <v>1142.3877456832085</v>
      </c>
      <c r="AA49" s="717">
        <v>491116.0655430989</v>
      </c>
      <c r="AB49" s="718">
        <v>31</v>
      </c>
      <c r="AC49" s="718">
        <v>268.89095749900883</v>
      </c>
      <c r="AD49" s="718">
        <v>491989.5623312831</v>
      </c>
      <c r="AE49" s="716">
        <v>7</v>
      </c>
      <c r="AF49" s="718">
        <v>68.16339398721986</v>
      </c>
      <c r="AG49" s="717">
        <v>492190.28989479487</v>
      </c>
      <c r="AH49" s="716">
        <v>3</v>
      </c>
      <c r="AI49" s="718">
        <v>30.5743318759841</v>
      </c>
      <c r="AJ49" s="717">
        <v>492227.8789569061</v>
      </c>
    </row>
    <row r="50" spans="1:36" ht="12.75">
      <c r="A50" s="715">
        <v>15</v>
      </c>
      <c r="B50" s="716">
        <v>4222</v>
      </c>
      <c r="C50" s="717">
        <v>82968.35357612737</v>
      </c>
      <c r="D50" s="716">
        <v>0</v>
      </c>
      <c r="E50" s="718">
        <v>0</v>
      </c>
      <c r="F50" s="717">
        <v>508094.9271762805</v>
      </c>
      <c r="G50" s="716">
        <v>255054</v>
      </c>
      <c r="H50" s="718">
        <v>508094.9271760781</v>
      </c>
      <c r="I50" s="717">
        <v>2.0238803699612617E-07</v>
      </c>
      <c r="J50" s="718">
        <v>157068</v>
      </c>
      <c r="K50" s="718">
        <v>396419.57098651637</v>
      </c>
      <c r="L50" s="718">
        <v>111675.3561897641</v>
      </c>
      <c r="M50" s="716">
        <v>30388</v>
      </c>
      <c r="N50" s="718">
        <v>115831.76988483843</v>
      </c>
      <c r="O50" s="717">
        <v>392263.15729144204</v>
      </c>
      <c r="P50" s="718">
        <v>12704</v>
      </c>
      <c r="Q50" s="718">
        <v>58266.554423134105</v>
      </c>
      <c r="R50" s="718">
        <v>449828.37275314634</v>
      </c>
      <c r="S50" s="716">
        <v>2668</v>
      </c>
      <c r="T50" s="718">
        <v>15224.276595515743</v>
      </c>
      <c r="U50" s="717">
        <v>492870.65058076475</v>
      </c>
      <c r="V50" s="718">
        <v>650</v>
      </c>
      <c r="W50" s="718">
        <v>4357.895537284392</v>
      </c>
      <c r="X50" s="718">
        <v>503737.0316389961</v>
      </c>
      <c r="Y50" s="716">
        <v>188</v>
      </c>
      <c r="Z50" s="718">
        <v>1422.379226016781</v>
      </c>
      <c r="AA50" s="717">
        <v>506672.5479502637</v>
      </c>
      <c r="AB50" s="718">
        <v>39</v>
      </c>
      <c r="AC50" s="718">
        <v>337.74115991863124</v>
      </c>
      <c r="AD50" s="718">
        <v>507757.1860163618</v>
      </c>
      <c r="AE50" s="716">
        <v>8</v>
      </c>
      <c r="AF50" s="718">
        <v>77.5438853166953</v>
      </c>
      <c r="AG50" s="717">
        <v>508017.3832909638</v>
      </c>
      <c r="AH50" s="716">
        <v>3</v>
      </c>
      <c r="AI50" s="718">
        <v>30.5743318759841</v>
      </c>
      <c r="AJ50" s="717">
        <v>508064.35284440446</v>
      </c>
    </row>
    <row r="51" spans="1:36" ht="12.75">
      <c r="A51" s="715">
        <v>16</v>
      </c>
      <c r="B51" s="716">
        <v>3284</v>
      </c>
      <c r="C51" s="717">
        <v>68405.98180378224</v>
      </c>
      <c r="D51" s="716">
        <v>0</v>
      </c>
      <c r="E51" s="718">
        <v>0</v>
      </c>
      <c r="F51" s="717">
        <v>522657.2989486303</v>
      </c>
      <c r="G51" s="716">
        <v>260249</v>
      </c>
      <c r="H51" s="718">
        <v>522657.2989484227</v>
      </c>
      <c r="I51" s="717">
        <v>2.0756851881742477E-07</v>
      </c>
      <c r="J51" s="718">
        <v>161436</v>
      </c>
      <c r="K51" s="718">
        <v>410013.7044154652</v>
      </c>
      <c r="L51" s="718">
        <v>112643.5945331651</v>
      </c>
      <c r="M51" s="716">
        <v>32410</v>
      </c>
      <c r="N51" s="718">
        <v>124109.00883128795</v>
      </c>
      <c r="O51" s="717">
        <v>398548.2901173423</v>
      </c>
      <c r="P51" s="718">
        <v>13786</v>
      </c>
      <c r="Q51" s="718">
        <v>63468.170242083186</v>
      </c>
      <c r="R51" s="718">
        <v>459189.1287065471</v>
      </c>
      <c r="S51" s="716">
        <v>3037</v>
      </c>
      <c r="T51" s="718">
        <v>17379.379789027007</v>
      </c>
      <c r="U51" s="717">
        <v>505277.9191596033</v>
      </c>
      <c r="V51" s="718">
        <v>766</v>
      </c>
      <c r="W51" s="718">
        <v>5153.576065896297</v>
      </c>
      <c r="X51" s="718">
        <v>517503.722882734</v>
      </c>
      <c r="Y51" s="716">
        <v>229</v>
      </c>
      <c r="Z51" s="718">
        <v>1745.6706323936387</v>
      </c>
      <c r="AA51" s="717">
        <v>520911.62831623666</v>
      </c>
      <c r="AB51" s="718">
        <v>56</v>
      </c>
      <c r="AC51" s="718">
        <v>484.8549270854027</v>
      </c>
      <c r="AD51" s="718">
        <v>522172.4440215449</v>
      </c>
      <c r="AE51" s="716">
        <v>13</v>
      </c>
      <c r="AF51" s="718">
        <v>124.60722170570261</v>
      </c>
      <c r="AG51" s="717">
        <v>522532.69172692456</v>
      </c>
      <c r="AH51" s="716">
        <v>4</v>
      </c>
      <c r="AI51" s="718">
        <v>40.666483981489996</v>
      </c>
      <c r="AJ51" s="717">
        <v>522616.6324646488</v>
      </c>
    </row>
    <row r="52" spans="1:36" ht="12.75">
      <c r="A52" s="715">
        <v>17</v>
      </c>
      <c r="B52" s="716">
        <v>2663</v>
      </c>
      <c r="C52" s="717">
        <v>58153.50107139475</v>
      </c>
      <c r="D52" s="716">
        <v>0</v>
      </c>
      <c r="E52" s="718">
        <v>0</v>
      </c>
      <c r="F52" s="717">
        <v>532909.7796810211</v>
      </c>
      <c r="G52" s="716">
        <v>263781</v>
      </c>
      <c r="H52" s="718">
        <v>532909.779680844</v>
      </c>
      <c r="I52" s="717">
        <v>1.7706770449876785E-07</v>
      </c>
      <c r="J52" s="718">
        <v>164460</v>
      </c>
      <c r="K52" s="718">
        <v>419686.9334473331</v>
      </c>
      <c r="L52" s="718">
        <v>113222.846233688</v>
      </c>
      <c r="M52" s="716">
        <v>33969</v>
      </c>
      <c r="N52" s="718">
        <v>130507.52149086747</v>
      </c>
      <c r="O52" s="717">
        <v>402402.25819015363</v>
      </c>
      <c r="P52" s="718">
        <v>14660</v>
      </c>
      <c r="Q52" s="718">
        <v>67616.59191515423</v>
      </c>
      <c r="R52" s="718">
        <v>465293.18776586687</v>
      </c>
      <c r="S52" s="716">
        <v>3299</v>
      </c>
      <c r="T52" s="718">
        <v>18892.164858328757</v>
      </c>
      <c r="U52" s="717">
        <v>514017.61482269235</v>
      </c>
      <c r="V52" s="718">
        <v>845</v>
      </c>
      <c r="W52" s="718">
        <v>5685.9964954176785</v>
      </c>
      <c r="X52" s="718">
        <v>527223.7831856034</v>
      </c>
      <c r="Y52" s="716">
        <v>252</v>
      </c>
      <c r="Z52" s="718">
        <v>1920.7304283049152</v>
      </c>
      <c r="AA52" s="717">
        <v>530989.0492527162</v>
      </c>
      <c r="AB52" s="718">
        <v>61</v>
      </c>
      <c r="AC52" s="718">
        <v>528.9770310916992</v>
      </c>
      <c r="AD52" s="718">
        <v>532380.8026499294</v>
      </c>
      <c r="AE52" s="716">
        <v>15</v>
      </c>
      <c r="AF52" s="718">
        <v>144.12049872853925</v>
      </c>
      <c r="AG52" s="717">
        <v>532765.6591822925</v>
      </c>
      <c r="AH52" s="716">
        <v>5</v>
      </c>
      <c r="AI52" s="718">
        <v>50.840381867034004</v>
      </c>
      <c r="AJ52" s="717">
        <v>532858.9392991541</v>
      </c>
    </row>
    <row r="53" spans="1:36" ht="12.75">
      <c r="A53" s="715">
        <v>18</v>
      </c>
      <c r="B53" s="716">
        <v>2161</v>
      </c>
      <c r="C53" s="717">
        <v>49378.34574625532</v>
      </c>
      <c r="D53" s="716">
        <v>0</v>
      </c>
      <c r="E53" s="718">
        <v>0</v>
      </c>
      <c r="F53" s="717">
        <v>541684.9350061619</v>
      </c>
      <c r="G53" s="716">
        <v>266688</v>
      </c>
      <c r="H53" s="718">
        <v>541684.9350060178</v>
      </c>
      <c r="I53" s="717">
        <v>1.441221684217453E-07</v>
      </c>
      <c r="J53" s="718">
        <v>166993</v>
      </c>
      <c r="K53" s="718">
        <v>428010.98386589676</v>
      </c>
      <c r="L53" s="718">
        <v>113673.95114026516</v>
      </c>
      <c r="M53" s="716">
        <v>35293</v>
      </c>
      <c r="N53" s="718">
        <v>136067.49851847984</v>
      </c>
      <c r="O53" s="717">
        <v>405617.43648768205</v>
      </c>
      <c r="P53" s="718">
        <v>15438</v>
      </c>
      <c r="Q53" s="718">
        <v>71394.29283552199</v>
      </c>
      <c r="R53" s="718">
        <v>470290.64217063994</v>
      </c>
      <c r="S53" s="716">
        <v>3574</v>
      </c>
      <c r="T53" s="718">
        <v>20512.03047677726</v>
      </c>
      <c r="U53" s="717">
        <v>521172.9045293847</v>
      </c>
      <c r="V53" s="718">
        <v>940</v>
      </c>
      <c r="W53" s="718">
        <v>6336.020199662455</v>
      </c>
      <c r="X53" s="718">
        <v>535348.9148064995</v>
      </c>
      <c r="Y53" s="716">
        <v>284</v>
      </c>
      <c r="Z53" s="718">
        <v>2168.4760468610193</v>
      </c>
      <c r="AA53" s="717">
        <v>539516.4589593009</v>
      </c>
      <c r="AB53" s="718">
        <v>69</v>
      </c>
      <c r="AC53" s="718">
        <v>602.5081926652888</v>
      </c>
      <c r="AD53" s="718">
        <v>541082.4268134966</v>
      </c>
      <c r="AE53" s="716">
        <v>18</v>
      </c>
      <c r="AF53" s="718">
        <v>175.68364210655915</v>
      </c>
      <c r="AG53" s="717">
        <v>541509.2513640553</v>
      </c>
      <c r="AH53" s="716">
        <v>7</v>
      </c>
      <c r="AI53" s="718">
        <v>72.8481850657026</v>
      </c>
      <c r="AJ53" s="717">
        <v>541612.0868210963</v>
      </c>
    </row>
    <row r="54" spans="1:36" ht="12.75">
      <c r="A54" s="715">
        <v>19</v>
      </c>
      <c r="B54" s="716">
        <v>1725</v>
      </c>
      <c r="C54" s="717">
        <v>41293.347271424456</v>
      </c>
      <c r="D54" s="716">
        <v>0</v>
      </c>
      <c r="E54" s="718">
        <v>0</v>
      </c>
      <c r="F54" s="717">
        <v>549769.9334809956</v>
      </c>
      <c r="G54" s="716">
        <v>269246</v>
      </c>
      <c r="H54" s="718">
        <v>549769.9334808777</v>
      </c>
      <c r="I54" s="717">
        <v>1.1792872101068497E-07</v>
      </c>
      <c r="J54" s="718">
        <v>169201</v>
      </c>
      <c r="K54" s="718">
        <v>435674.40243504883</v>
      </c>
      <c r="L54" s="718">
        <v>114095.53104594676</v>
      </c>
      <c r="M54" s="716">
        <v>36617</v>
      </c>
      <c r="N54" s="718">
        <v>141667.93858381105</v>
      </c>
      <c r="O54" s="717">
        <v>408101.99489718454</v>
      </c>
      <c r="P54" s="718">
        <v>16196</v>
      </c>
      <c r="Q54" s="718">
        <v>75125.75544100115</v>
      </c>
      <c r="R54" s="718">
        <v>474644.17803999444</v>
      </c>
      <c r="S54" s="716">
        <v>3879</v>
      </c>
      <c r="T54" s="718">
        <v>22302.993639395354</v>
      </c>
      <c r="U54" s="717">
        <v>527466.9398416003</v>
      </c>
      <c r="V54" s="718">
        <v>1036</v>
      </c>
      <c r="W54" s="718">
        <v>6994.731361302858</v>
      </c>
      <c r="X54" s="718">
        <v>542775.2021196927</v>
      </c>
      <c r="Y54" s="716">
        <v>325</v>
      </c>
      <c r="Z54" s="718">
        <v>2480.456440421989</v>
      </c>
      <c r="AA54" s="717">
        <v>547289.4770405736</v>
      </c>
      <c r="AB54" s="718">
        <v>79</v>
      </c>
      <c r="AC54" s="718">
        <v>689.4508356521601</v>
      </c>
      <c r="AD54" s="718">
        <v>549080.4826453434</v>
      </c>
      <c r="AE54" s="716">
        <v>19</v>
      </c>
      <c r="AF54" s="718">
        <v>186.85753999210314</v>
      </c>
      <c r="AG54" s="717">
        <v>549583.0759410035</v>
      </c>
      <c r="AH54" s="716">
        <v>8</v>
      </c>
      <c r="AI54" s="718">
        <v>84.02208295124659</v>
      </c>
      <c r="AJ54" s="717">
        <v>549685.9113980443</v>
      </c>
    </row>
    <row r="55" spans="1:36" ht="12.75">
      <c r="A55" s="719">
        <v>20</v>
      </c>
      <c r="B55" s="720">
        <v>1386</v>
      </c>
      <c r="C55" s="721">
        <v>34661.48683439426</v>
      </c>
      <c r="D55" s="720">
        <v>0</v>
      </c>
      <c r="E55" s="722">
        <v>0</v>
      </c>
      <c r="F55" s="721">
        <v>556401.7939180259</v>
      </c>
      <c r="G55" s="720">
        <v>271294</v>
      </c>
      <c r="H55" s="722">
        <v>556401.7939179313</v>
      </c>
      <c r="I55" s="721">
        <v>9.4645656645298E-08</v>
      </c>
      <c r="J55" s="722">
        <v>171027</v>
      </c>
      <c r="K55" s="722">
        <v>442046.68548382085</v>
      </c>
      <c r="L55" s="722">
        <v>114355.10843420506</v>
      </c>
      <c r="M55" s="720">
        <v>37772</v>
      </c>
      <c r="N55" s="722">
        <v>146518.30189062175</v>
      </c>
      <c r="O55" s="721">
        <v>409883.49202740414</v>
      </c>
      <c r="P55" s="722">
        <v>16860</v>
      </c>
      <c r="Q55" s="722">
        <v>78372.73665598485</v>
      </c>
      <c r="R55" s="722">
        <v>478029.0572620411</v>
      </c>
      <c r="S55" s="720">
        <v>4139</v>
      </c>
      <c r="T55" s="722">
        <v>23822.28923008692</v>
      </c>
      <c r="U55" s="721">
        <v>532579.504687939</v>
      </c>
      <c r="V55" s="722">
        <v>1117</v>
      </c>
      <c r="W55" s="722">
        <v>7552.844624304436</v>
      </c>
      <c r="X55" s="722">
        <v>548848.9492937215</v>
      </c>
      <c r="Y55" s="720">
        <v>359</v>
      </c>
      <c r="Z55" s="722">
        <v>2738.7312783962025</v>
      </c>
      <c r="AA55" s="721">
        <v>553663.0626396297</v>
      </c>
      <c r="AB55" s="722">
        <v>87</v>
      </c>
      <c r="AC55" s="722">
        <v>759.4389743030863</v>
      </c>
      <c r="AD55" s="722">
        <v>555642.3549437228</v>
      </c>
      <c r="AE55" s="720">
        <v>21</v>
      </c>
      <c r="AF55" s="722">
        <v>206.69272247865413</v>
      </c>
      <c r="AG55" s="721">
        <v>556195.1011955473</v>
      </c>
      <c r="AH55" s="720">
        <v>9</v>
      </c>
      <c r="AI55" s="722">
        <v>94.4727705849234</v>
      </c>
      <c r="AJ55" s="721">
        <v>556307.3211474409</v>
      </c>
    </row>
    <row r="56" spans="1:36" ht="12.75">
      <c r="A56" s="715">
        <v>21</v>
      </c>
      <c r="B56" s="716">
        <v>1127</v>
      </c>
      <c r="C56" s="717">
        <v>29343.26053917158</v>
      </c>
      <c r="D56" s="716">
        <v>0</v>
      </c>
      <c r="E56" s="718">
        <v>0</v>
      </c>
      <c r="F56" s="717">
        <v>561720.0202132488</v>
      </c>
      <c r="G56" s="716">
        <v>272867</v>
      </c>
      <c r="H56" s="718">
        <v>561720.0202131696</v>
      </c>
      <c r="I56" s="717">
        <v>7.916241884231567E-08</v>
      </c>
      <c r="J56" s="718">
        <v>172450</v>
      </c>
      <c r="K56" s="718">
        <v>447191.2639231643</v>
      </c>
      <c r="L56" s="718">
        <v>114528.75629008451</v>
      </c>
      <c r="M56" s="716">
        <v>38711</v>
      </c>
      <c r="N56" s="718">
        <v>150545.63046601403</v>
      </c>
      <c r="O56" s="717">
        <v>411174.38974723476</v>
      </c>
      <c r="P56" s="718">
        <v>17450</v>
      </c>
      <c r="Q56" s="718">
        <v>81250.78464128282</v>
      </c>
      <c r="R56" s="718">
        <v>480469.235571966</v>
      </c>
      <c r="S56" s="716">
        <v>4361</v>
      </c>
      <c r="T56" s="718">
        <v>25128.018032830012</v>
      </c>
      <c r="U56" s="717">
        <v>536592.0021804188</v>
      </c>
      <c r="V56" s="718">
        <v>1197</v>
      </c>
      <c r="W56" s="718">
        <v>8094.021827839465</v>
      </c>
      <c r="X56" s="718">
        <v>553625.9983854094</v>
      </c>
      <c r="Y56" s="716">
        <v>382</v>
      </c>
      <c r="Z56" s="718">
        <v>2913.909448132956</v>
      </c>
      <c r="AA56" s="717">
        <v>558806.1107651158</v>
      </c>
      <c r="AB56" s="718">
        <v>91</v>
      </c>
      <c r="AC56" s="718">
        <v>793.4357734463763</v>
      </c>
      <c r="AD56" s="718">
        <v>560926.5844398024</v>
      </c>
      <c r="AE56" s="716">
        <v>22</v>
      </c>
      <c r="AF56" s="718">
        <v>215.84451502953954</v>
      </c>
      <c r="AG56" s="717">
        <v>561504.1756982192</v>
      </c>
      <c r="AH56" s="716">
        <v>9</v>
      </c>
      <c r="AI56" s="718">
        <v>94.4727705849234</v>
      </c>
      <c r="AJ56" s="717">
        <v>561625.5474426638</v>
      </c>
    </row>
    <row r="57" spans="1:36" ht="12.75">
      <c r="A57" s="715">
        <v>22</v>
      </c>
      <c r="B57" s="716">
        <v>880</v>
      </c>
      <c r="C57" s="717">
        <v>24022.13837352581</v>
      </c>
      <c r="D57" s="716">
        <v>0</v>
      </c>
      <c r="E57" s="718">
        <v>0</v>
      </c>
      <c r="F57" s="717">
        <v>567041.1423788955</v>
      </c>
      <c r="G57" s="716">
        <v>274383</v>
      </c>
      <c r="H57" s="718">
        <v>567041.1423788294</v>
      </c>
      <c r="I57" s="717">
        <v>6.612390279769897E-08</v>
      </c>
      <c r="J57" s="718">
        <v>173819</v>
      </c>
      <c r="K57" s="718">
        <v>452336.59277007944</v>
      </c>
      <c r="L57" s="718">
        <v>114704.5496088161</v>
      </c>
      <c r="M57" s="716">
        <v>39663</v>
      </c>
      <c r="N57" s="718">
        <v>154730.58847194855</v>
      </c>
      <c r="O57" s="717">
        <v>412310.553906947</v>
      </c>
      <c r="P57" s="718">
        <v>18075</v>
      </c>
      <c r="Q57" s="718">
        <v>84372.0423289761</v>
      </c>
      <c r="R57" s="718">
        <v>482669.10004991945</v>
      </c>
      <c r="S57" s="716">
        <v>4618</v>
      </c>
      <c r="T57" s="718">
        <v>26670.376523254505</v>
      </c>
      <c r="U57" s="717">
        <v>540370.765855641</v>
      </c>
      <c r="V57" s="718">
        <v>1289</v>
      </c>
      <c r="W57" s="718">
        <v>8744.935929453055</v>
      </c>
      <c r="X57" s="718">
        <v>558296.2064494425</v>
      </c>
      <c r="Y57" s="716">
        <v>423</v>
      </c>
      <c r="Z57" s="718">
        <v>3243.675254895416</v>
      </c>
      <c r="AA57" s="717">
        <v>563797.4671240001</v>
      </c>
      <c r="AB57" s="718">
        <v>106</v>
      </c>
      <c r="AC57" s="718">
        <v>934.0416878022714</v>
      </c>
      <c r="AD57" s="718">
        <v>566107.1006910932</v>
      </c>
      <c r="AE57" s="716">
        <v>26</v>
      </c>
      <c r="AF57" s="718">
        <v>263.7962631754606</v>
      </c>
      <c r="AG57" s="717">
        <v>566777.3461157201</v>
      </c>
      <c r="AH57" s="716">
        <v>12</v>
      </c>
      <c r="AI57" s="718">
        <v>133.1774265298569</v>
      </c>
      <c r="AJ57" s="717">
        <v>566907.9649523657</v>
      </c>
    </row>
    <row r="58" spans="1:36" ht="12.75">
      <c r="A58" s="715">
        <v>23</v>
      </c>
      <c r="B58" s="716">
        <v>749</v>
      </c>
      <c r="C58" s="717">
        <v>21065.818472578427</v>
      </c>
      <c r="D58" s="716">
        <v>0</v>
      </c>
      <c r="E58" s="718">
        <v>0</v>
      </c>
      <c r="F58" s="717">
        <v>569997.4622798436</v>
      </c>
      <c r="G58" s="716">
        <v>275202</v>
      </c>
      <c r="H58" s="718">
        <v>569997.4622797886</v>
      </c>
      <c r="I58" s="717">
        <v>5.506444722414017E-08</v>
      </c>
      <c r="J58" s="718">
        <v>174578</v>
      </c>
      <c r="K58" s="718">
        <v>455224.76558624423</v>
      </c>
      <c r="L58" s="718">
        <v>114772.6966935994</v>
      </c>
      <c r="M58" s="716">
        <v>40216</v>
      </c>
      <c r="N58" s="718">
        <v>157154.08308348065</v>
      </c>
      <c r="O58" s="717">
        <v>412843.379196363</v>
      </c>
      <c r="P58" s="718">
        <v>18447</v>
      </c>
      <c r="Q58" s="718">
        <v>86202.41821629468</v>
      </c>
      <c r="R58" s="718">
        <v>483795.04406354896</v>
      </c>
      <c r="S58" s="716">
        <v>4764</v>
      </c>
      <c r="T58" s="718">
        <v>27527.01704440296</v>
      </c>
      <c r="U58" s="717">
        <v>542470.4452354406</v>
      </c>
      <c r="V58" s="718">
        <v>1336</v>
      </c>
      <c r="W58" s="718">
        <v>9070.302551484543</v>
      </c>
      <c r="X58" s="718">
        <v>560927.1597283591</v>
      </c>
      <c r="Y58" s="716">
        <v>442</v>
      </c>
      <c r="Z58" s="718">
        <v>3389.796335922472</v>
      </c>
      <c r="AA58" s="717">
        <v>566607.6659439212</v>
      </c>
      <c r="AB58" s="718">
        <v>111</v>
      </c>
      <c r="AC58" s="718">
        <v>976.678148315037</v>
      </c>
      <c r="AD58" s="718">
        <v>569020.7841315286</v>
      </c>
      <c r="AE58" s="716">
        <v>27</v>
      </c>
      <c r="AF58" s="718">
        <v>273.5734577829702</v>
      </c>
      <c r="AG58" s="717">
        <v>569723.8888220607</v>
      </c>
      <c r="AH58" s="716">
        <v>12</v>
      </c>
      <c r="AI58" s="718">
        <v>133.1774265298569</v>
      </c>
      <c r="AJ58" s="717">
        <v>569864.2848533138</v>
      </c>
    </row>
    <row r="59" spans="1:36" ht="12.75">
      <c r="A59" s="715">
        <v>24</v>
      </c>
      <c r="B59" s="716">
        <v>591</v>
      </c>
      <c r="C59" s="717">
        <v>17340.317989521765</v>
      </c>
      <c r="D59" s="716">
        <v>0</v>
      </c>
      <c r="E59" s="718">
        <v>0</v>
      </c>
      <c r="F59" s="717">
        <v>573722.9627629</v>
      </c>
      <c r="G59" s="716">
        <v>276199</v>
      </c>
      <c r="H59" s="718">
        <v>573722.9627628583</v>
      </c>
      <c r="I59" s="717">
        <v>4.17931005358696E-08</v>
      </c>
      <c r="J59" s="718">
        <v>175506</v>
      </c>
      <c r="K59" s="718">
        <v>458868.65736224165</v>
      </c>
      <c r="L59" s="718">
        <v>114854.3054006584</v>
      </c>
      <c r="M59" s="716">
        <v>40898</v>
      </c>
      <c r="N59" s="718">
        <v>160221.70451033063</v>
      </c>
      <c r="O59" s="717">
        <v>413501.2582525694</v>
      </c>
      <c r="P59" s="718">
        <v>18930</v>
      </c>
      <c r="Q59" s="718">
        <v>88620.07285237465</v>
      </c>
      <c r="R59" s="718">
        <v>485102.8899105254</v>
      </c>
      <c r="S59" s="716">
        <v>4975</v>
      </c>
      <c r="T59" s="718">
        <v>28785.92450122573</v>
      </c>
      <c r="U59" s="717">
        <v>544937.0382616743</v>
      </c>
      <c r="V59" s="718">
        <v>1419</v>
      </c>
      <c r="W59" s="718">
        <v>9643.176193550002</v>
      </c>
      <c r="X59" s="718">
        <v>564079.78656935</v>
      </c>
      <c r="Y59" s="716">
        <v>480</v>
      </c>
      <c r="Z59" s="718">
        <v>3679.8517777968473</v>
      </c>
      <c r="AA59" s="717">
        <v>570043.1109851032</v>
      </c>
      <c r="AB59" s="718">
        <v>121</v>
      </c>
      <c r="AC59" s="718">
        <v>1062.86082008085</v>
      </c>
      <c r="AD59" s="718">
        <v>572660.1019428192</v>
      </c>
      <c r="AE59" s="716">
        <v>29</v>
      </c>
      <c r="AF59" s="718">
        <v>292.468886064595</v>
      </c>
      <c r="AG59" s="717">
        <v>573430.4938768354</v>
      </c>
      <c r="AH59" s="716">
        <v>12</v>
      </c>
      <c r="AI59" s="718">
        <v>133.1774265298569</v>
      </c>
      <c r="AJ59" s="717">
        <v>573589.7853363702</v>
      </c>
    </row>
    <row r="60" spans="1:36" ht="12.75">
      <c r="A60" s="715">
        <v>25</v>
      </c>
      <c r="B60" s="716">
        <v>460</v>
      </c>
      <c r="C60" s="717">
        <v>14105.622770483444</v>
      </c>
      <c r="D60" s="716">
        <v>0</v>
      </c>
      <c r="E60" s="718">
        <v>0</v>
      </c>
      <c r="F60" s="717">
        <v>576957.6579819384</v>
      </c>
      <c r="G60" s="716">
        <v>277042</v>
      </c>
      <c r="H60" s="718">
        <v>576957.6579819069</v>
      </c>
      <c r="I60" s="717">
        <v>3.1548552215099335E-08</v>
      </c>
      <c r="J60" s="718">
        <v>176301</v>
      </c>
      <c r="K60" s="718">
        <v>462047.42337015725</v>
      </c>
      <c r="L60" s="718">
        <v>114910.2346117812</v>
      </c>
      <c r="M60" s="716">
        <v>41485</v>
      </c>
      <c r="N60" s="718">
        <v>162924.2981236892</v>
      </c>
      <c r="O60" s="717">
        <v>414033.35985824926</v>
      </c>
      <c r="P60" s="718">
        <v>19358</v>
      </c>
      <c r="Q60" s="718">
        <v>90804.99298505328</v>
      </c>
      <c r="R60" s="718">
        <v>486152.66499688517</v>
      </c>
      <c r="S60" s="716">
        <v>5183</v>
      </c>
      <c r="T60" s="718">
        <v>30028.258153937997</v>
      </c>
      <c r="U60" s="717">
        <v>546929.3998280005</v>
      </c>
      <c r="V60" s="718">
        <v>1512</v>
      </c>
      <c r="W60" s="718">
        <v>10272.645241855662</v>
      </c>
      <c r="X60" s="718">
        <v>566685.0127400828</v>
      </c>
      <c r="Y60" s="716">
        <v>508</v>
      </c>
      <c r="Z60" s="718">
        <v>3896.8436960860636</v>
      </c>
      <c r="AA60" s="717">
        <v>573060.8142858524</v>
      </c>
      <c r="AB60" s="718">
        <v>130</v>
      </c>
      <c r="AC60" s="718">
        <v>1141.9582964219167</v>
      </c>
      <c r="AD60" s="718">
        <v>575815.6996855165</v>
      </c>
      <c r="AE60" s="716">
        <v>31</v>
      </c>
      <c r="AF60" s="718">
        <v>313.2881902910116</v>
      </c>
      <c r="AG60" s="717">
        <v>576644.3697916474</v>
      </c>
      <c r="AH60" s="716">
        <v>13</v>
      </c>
      <c r="AI60" s="718">
        <v>144.6713392705621</v>
      </c>
      <c r="AJ60" s="717">
        <v>576812.9866426679</v>
      </c>
    </row>
    <row r="61" spans="1:36" ht="12.75">
      <c r="A61" s="715">
        <v>26</v>
      </c>
      <c r="B61" s="716">
        <v>381</v>
      </c>
      <c r="C61" s="717">
        <v>12079.975708743426</v>
      </c>
      <c r="D61" s="716">
        <v>0</v>
      </c>
      <c r="E61" s="718">
        <v>0</v>
      </c>
      <c r="F61" s="717">
        <v>578983.3050436798</v>
      </c>
      <c r="G61" s="716">
        <v>277554</v>
      </c>
      <c r="H61" s="718">
        <v>578983.3050436561</v>
      </c>
      <c r="I61" s="717">
        <v>2.3632310330867767E-08</v>
      </c>
      <c r="J61" s="718">
        <v>176783</v>
      </c>
      <c r="K61" s="718">
        <v>464037.5626803774</v>
      </c>
      <c r="L61" s="718">
        <v>114945.74236330239</v>
      </c>
      <c r="M61" s="716">
        <v>41853</v>
      </c>
      <c r="N61" s="718">
        <v>164646.45274875656</v>
      </c>
      <c r="O61" s="717">
        <v>414336.8522949232</v>
      </c>
      <c r="P61" s="718">
        <v>19625</v>
      </c>
      <c r="Q61" s="718">
        <v>92199.02592216236</v>
      </c>
      <c r="R61" s="718">
        <v>486784.27912151744</v>
      </c>
      <c r="S61" s="716">
        <v>5307</v>
      </c>
      <c r="T61" s="718">
        <v>30808.90914069919</v>
      </c>
      <c r="U61" s="717">
        <v>548174.3959029806</v>
      </c>
      <c r="V61" s="718">
        <v>1575</v>
      </c>
      <c r="W61" s="718">
        <v>10723.778451101824</v>
      </c>
      <c r="X61" s="718">
        <v>568259.5265925779</v>
      </c>
      <c r="Y61" s="716">
        <v>542</v>
      </c>
      <c r="Z61" s="718">
        <v>4165.716571430145</v>
      </c>
      <c r="AA61" s="717">
        <v>574817.5884722497</v>
      </c>
      <c r="AB61" s="718">
        <v>141</v>
      </c>
      <c r="AC61" s="718">
        <v>1240.9920485423015</v>
      </c>
      <c r="AD61" s="718">
        <v>577742.3129951375</v>
      </c>
      <c r="AE61" s="716">
        <v>34</v>
      </c>
      <c r="AF61" s="718">
        <v>344.0325853209764</v>
      </c>
      <c r="AG61" s="717">
        <v>578639.2724583588</v>
      </c>
      <c r="AH61" s="716">
        <v>15</v>
      </c>
      <c r="AI61" s="718">
        <v>165.77193882150513</v>
      </c>
      <c r="AJ61" s="717">
        <v>578817.5331048582</v>
      </c>
    </row>
    <row r="62" spans="1:36" ht="12.75">
      <c r="A62" s="715">
        <v>27</v>
      </c>
      <c r="B62" s="716">
        <v>317</v>
      </c>
      <c r="C62" s="717">
        <v>10371.956609667828</v>
      </c>
      <c r="D62" s="716">
        <v>0</v>
      </c>
      <c r="E62" s="718">
        <v>0</v>
      </c>
      <c r="F62" s="717">
        <v>580691.3241427555</v>
      </c>
      <c r="G62" s="716">
        <v>277975</v>
      </c>
      <c r="H62" s="718">
        <v>580691.3241427356</v>
      </c>
      <c r="I62" s="717">
        <v>1.9907020032405853E-08</v>
      </c>
      <c r="J62" s="718">
        <v>177181</v>
      </c>
      <c r="K62" s="718">
        <v>465718.89062830986</v>
      </c>
      <c r="L62" s="718">
        <v>114972.43351444561</v>
      </c>
      <c r="M62" s="716">
        <v>42167</v>
      </c>
      <c r="N62" s="718">
        <v>166132.80946992512</v>
      </c>
      <c r="O62" s="717">
        <v>414558.51467283035</v>
      </c>
      <c r="P62" s="718">
        <v>19861</v>
      </c>
      <c r="Q62" s="718">
        <v>93429.98456103401</v>
      </c>
      <c r="R62" s="718">
        <v>487261.33958172146</v>
      </c>
      <c r="S62" s="716">
        <v>5438</v>
      </c>
      <c r="T62" s="718">
        <v>31593.44271166244</v>
      </c>
      <c r="U62" s="717">
        <v>549097.8814310931</v>
      </c>
      <c r="V62" s="718">
        <v>1630</v>
      </c>
      <c r="W62" s="718">
        <v>11106.236005180637</v>
      </c>
      <c r="X62" s="718">
        <v>569585.0881375748</v>
      </c>
      <c r="Y62" s="716">
        <v>565</v>
      </c>
      <c r="Z62" s="718">
        <v>4344.728269405094</v>
      </c>
      <c r="AA62" s="717">
        <v>576346.5958733504</v>
      </c>
      <c r="AB62" s="718">
        <v>148</v>
      </c>
      <c r="AC62" s="718">
        <v>1304.471448619622</v>
      </c>
      <c r="AD62" s="718">
        <v>579386.8526941359</v>
      </c>
      <c r="AE62" s="716">
        <v>38</v>
      </c>
      <c r="AF62" s="718">
        <v>382.60973102206066</v>
      </c>
      <c r="AG62" s="717">
        <v>580308.7144117334</v>
      </c>
      <c r="AH62" s="716">
        <v>17</v>
      </c>
      <c r="AI62" s="718">
        <v>185.85293633561713</v>
      </c>
      <c r="AJ62" s="717">
        <v>580505.4712064199</v>
      </c>
    </row>
    <row r="63" spans="1:36" ht="12.75">
      <c r="A63" s="715">
        <v>28</v>
      </c>
      <c r="B63" s="716">
        <v>257</v>
      </c>
      <c r="C63" s="717">
        <v>8710.011985086749</v>
      </c>
      <c r="D63" s="716">
        <v>0</v>
      </c>
      <c r="E63" s="718">
        <v>0</v>
      </c>
      <c r="F63" s="717">
        <v>582353.268767337</v>
      </c>
      <c r="G63" s="716">
        <v>278358</v>
      </c>
      <c r="H63" s="718">
        <v>582353.2687673225</v>
      </c>
      <c r="I63" s="717">
        <v>1.4435499906539917E-08</v>
      </c>
      <c r="J63" s="718">
        <v>177547</v>
      </c>
      <c r="K63" s="718">
        <v>467361.11694355775</v>
      </c>
      <c r="L63" s="718">
        <v>114992.15182377922</v>
      </c>
      <c r="M63" s="716">
        <v>42480</v>
      </c>
      <c r="N63" s="718">
        <v>167650.61855039734</v>
      </c>
      <c r="O63" s="717">
        <v>414702.6502169396</v>
      </c>
      <c r="P63" s="718">
        <v>20091</v>
      </c>
      <c r="Q63" s="718">
        <v>94677.39452617553</v>
      </c>
      <c r="R63" s="718">
        <v>487675.87424116145</v>
      </c>
      <c r="S63" s="716">
        <v>5562</v>
      </c>
      <c r="T63" s="718">
        <v>32388.27180034518</v>
      </c>
      <c r="U63" s="717">
        <v>549964.9969669918</v>
      </c>
      <c r="V63" s="718">
        <v>1703</v>
      </c>
      <c r="W63" s="718">
        <v>11630.145545115201</v>
      </c>
      <c r="X63" s="718">
        <v>570723.1232222217</v>
      </c>
      <c r="Y63" s="716">
        <v>594</v>
      </c>
      <c r="Z63" s="718">
        <v>4589.45951768518</v>
      </c>
      <c r="AA63" s="717">
        <v>577763.8092496517</v>
      </c>
      <c r="AB63" s="718">
        <v>162</v>
      </c>
      <c r="AC63" s="718">
        <v>1438.1324162459305</v>
      </c>
      <c r="AD63" s="718">
        <v>580915.1363510911</v>
      </c>
      <c r="AE63" s="716">
        <v>45</v>
      </c>
      <c r="AF63" s="718">
        <v>457.7492830754637</v>
      </c>
      <c r="AG63" s="717">
        <v>581895.5194842615</v>
      </c>
      <c r="AH63" s="716">
        <v>21</v>
      </c>
      <c r="AI63" s="718">
        <v>233.01631393188592</v>
      </c>
      <c r="AJ63" s="717">
        <v>582120.2524534051</v>
      </c>
    </row>
    <row r="64" spans="1:36" ht="12.75">
      <c r="A64" s="715">
        <v>29</v>
      </c>
      <c r="B64" s="716">
        <v>230</v>
      </c>
      <c r="C64" s="717">
        <v>7940.979000295901</v>
      </c>
      <c r="D64" s="716">
        <v>0</v>
      </c>
      <c r="E64" s="718">
        <v>0</v>
      </c>
      <c r="F64" s="717">
        <v>583122.3017521274</v>
      </c>
      <c r="G64" s="716">
        <v>278535</v>
      </c>
      <c r="H64" s="718">
        <v>583122.3017521133</v>
      </c>
      <c r="I64" s="717">
        <v>1.4086253941059113E-08</v>
      </c>
      <c r="J64" s="718">
        <v>177717</v>
      </c>
      <c r="K64" s="718">
        <v>468121.3301412723</v>
      </c>
      <c r="L64" s="718">
        <v>115000.97161085508</v>
      </c>
      <c r="M64" s="716">
        <v>42623</v>
      </c>
      <c r="N64" s="718">
        <v>168344.44810390542</v>
      </c>
      <c r="O64" s="717">
        <v>414777.85364822194</v>
      </c>
      <c r="P64" s="718">
        <v>20202</v>
      </c>
      <c r="Q64" s="718">
        <v>95261.44248346395</v>
      </c>
      <c r="R64" s="718">
        <v>487860.8592686634</v>
      </c>
      <c r="S64" s="716">
        <v>5617</v>
      </c>
      <c r="T64" s="718">
        <v>32727.926673594273</v>
      </c>
      <c r="U64" s="717">
        <v>550394.3750785331</v>
      </c>
      <c r="V64" s="718">
        <v>1728</v>
      </c>
      <c r="W64" s="718">
        <v>11804.381987412804</v>
      </c>
      <c r="X64" s="718">
        <v>571317.9197647145</v>
      </c>
      <c r="Y64" s="716">
        <v>604</v>
      </c>
      <c r="Z64" s="718">
        <v>4670.112508930479</v>
      </c>
      <c r="AA64" s="717">
        <v>578452.1892431969</v>
      </c>
      <c r="AB64" s="718">
        <v>166</v>
      </c>
      <c r="AC64" s="718">
        <v>1473.7023878342231</v>
      </c>
      <c r="AD64" s="718">
        <v>581648.5993642932</v>
      </c>
      <c r="AE64" s="716">
        <v>47</v>
      </c>
      <c r="AF64" s="718">
        <v>476.3828566716036</v>
      </c>
      <c r="AG64" s="717">
        <v>582645.9188954558</v>
      </c>
      <c r="AH64" s="716">
        <v>21</v>
      </c>
      <c r="AI64" s="718">
        <v>233.01631393188592</v>
      </c>
      <c r="AJ64" s="717">
        <v>582889.2854381955</v>
      </c>
    </row>
    <row r="65" spans="1:36" ht="12.75">
      <c r="A65" s="719">
        <v>30</v>
      </c>
      <c r="B65" s="720">
        <v>193</v>
      </c>
      <c r="C65" s="721">
        <v>6854.384292647333</v>
      </c>
      <c r="D65" s="720">
        <v>0</v>
      </c>
      <c r="E65" s="722">
        <v>0</v>
      </c>
      <c r="F65" s="721">
        <v>584208.8964597763</v>
      </c>
      <c r="G65" s="720">
        <v>278780</v>
      </c>
      <c r="H65" s="722">
        <v>584208.8964597626</v>
      </c>
      <c r="I65" s="721">
        <v>1.3737007975578308E-08</v>
      </c>
      <c r="J65" s="722">
        <v>177949</v>
      </c>
      <c r="K65" s="722">
        <v>469191.23965278716</v>
      </c>
      <c r="L65" s="722">
        <v>115017.65680698917</v>
      </c>
      <c r="M65" s="720">
        <v>42814</v>
      </c>
      <c r="N65" s="722">
        <v>169316.54941877892</v>
      </c>
      <c r="O65" s="721">
        <v>414892.3470409974</v>
      </c>
      <c r="P65" s="722">
        <v>20354</v>
      </c>
      <c r="Q65" s="722">
        <v>96104.20434086878</v>
      </c>
      <c r="R65" s="722">
        <v>488104.6921189076</v>
      </c>
      <c r="S65" s="720">
        <v>5705</v>
      </c>
      <c r="T65" s="722">
        <v>33296.831292424766</v>
      </c>
      <c r="U65" s="721">
        <v>550912.0651673515</v>
      </c>
      <c r="V65" s="722">
        <v>1779</v>
      </c>
      <c r="W65" s="722">
        <v>12173.285224023737</v>
      </c>
      <c r="X65" s="722">
        <v>572035.6112357526</v>
      </c>
      <c r="Y65" s="720">
        <v>631</v>
      </c>
      <c r="Z65" s="722">
        <v>4888.894726506343</v>
      </c>
      <c r="AA65" s="721">
        <v>579320.00173327</v>
      </c>
      <c r="AB65" s="722">
        <v>177</v>
      </c>
      <c r="AC65" s="722">
        <v>1576.6665640212432</v>
      </c>
      <c r="AD65" s="722">
        <v>582632.2298957551</v>
      </c>
      <c r="AE65" s="720">
        <v>52</v>
      </c>
      <c r="AF65" s="722">
        <v>527.5944589495627</v>
      </c>
      <c r="AG65" s="721">
        <v>583681.3020008268</v>
      </c>
      <c r="AH65" s="720">
        <v>23</v>
      </c>
      <c r="AI65" s="722">
        <v>255.7408352637499</v>
      </c>
      <c r="AJ65" s="721">
        <v>583953.1556245126</v>
      </c>
    </row>
    <row r="66" spans="1:36" ht="12.75">
      <c r="A66" s="715">
        <v>31</v>
      </c>
      <c r="B66" s="716">
        <v>157</v>
      </c>
      <c r="C66" s="717">
        <v>5761.490167713804</v>
      </c>
      <c r="D66" s="716">
        <v>0</v>
      </c>
      <c r="E66" s="718">
        <v>0</v>
      </c>
      <c r="F66" s="717">
        <v>585301.7905847096</v>
      </c>
      <c r="G66" s="716">
        <v>279016</v>
      </c>
      <c r="H66" s="718">
        <v>585301.7905846983</v>
      </c>
      <c r="I66" s="717">
        <v>1.1292286217212677E-08</v>
      </c>
      <c r="J66" s="718">
        <v>178178</v>
      </c>
      <c r="K66" s="718">
        <v>470275.74232404015</v>
      </c>
      <c r="L66" s="718">
        <v>115026.04826066946</v>
      </c>
      <c r="M66" s="716">
        <v>43008</v>
      </c>
      <c r="N66" s="718">
        <v>170319.91606641986</v>
      </c>
      <c r="O66" s="717">
        <v>414981.87451828975</v>
      </c>
      <c r="P66" s="718">
        <v>20517</v>
      </c>
      <c r="Q66" s="718">
        <v>97003.96860663833</v>
      </c>
      <c r="R66" s="718">
        <v>488297.8219780713</v>
      </c>
      <c r="S66" s="716">
        <v>5804</v>
      </c>
      <c r="T66" s="718">
        <v>33922.9559152598</v>
      </c>
      <c r="U66" s="717">
        <v>551378.8346694498</v>
      </c>
      <c r="V66" s="718">
        <v>1831</v>
      </c>
      <c r="W66" s="718">
        <v>12547.654992345131</v>
      </c>
      <c r="X66" s="718">
        <v>572754.1355923645</v>
      </c>
      <c r="Y66" s="716">
        <v>659</v>
      </c>
      <c r="Z66" s="718">
        <v>5112.209132504303</v>
      </c>
      <c r="AA66" s="717">
        <v>580189.5814522053</v>
      </c>
      <c r="AB66" s="718">
        <v>188</v>
      </c>
      <c r="AC66" s="718">
        <v>1675.4121257596262</v>
      </c>
      <c r="AD66" s="718">
        <v>583626.37845895</v>
      </c>
      <c r="AE66" s="716">
        <v>56</v>
      </c>
      <c r="AF66" s="718">
        <v>567.8252029158459</v>
      </c>
      <c r="AG66" s="717">
        <v>584733.9653817938</v>
      </c>
      <c r="AH66" s="716">
        <v>26</v>
      </c>
      <c r="AI66" s="718">
        <v>286.64618774432137</v>
      </c>
      <c r="AJ66" s="717">
        <v>585015.1443969653</v>
      </c>
    </row>
    <row r="67" spans="1:36" ht="12.75">
      <c r="A67" s="715">
        <v>32</v>
      </c>
      <c r="B67" s="716">
        <v>121</v>
      </c>
      <c r="C67" s="717">
        <v>4632.949213675139</v>
      </c>
      <c r="D67" s="716">
        <v>0</v>
      </c>
      <c r="E67" s="718">
        <v>0</v>
      </c>
      <c r="F67" s="717">
        <v>586430.3315387487</v>
      </c>
      <c r="G67" s="716">
        <v>279252</v>
      </c>
      <c r="H67" s="718">
        <v>586430.3315387394</v>
      </c>
      <c r="I67" s="717">
        <v>9.313225746154785E-09</v>
      </c>
      <c r="J67" s="718">
        <v>178409</v>
      </c>
      <c r="K67" s="718">
        <v>471397.29656028666</v>
      </c>
      <c r="L67" s="718">
        <v>115033.03497846203</v>
      </c>
      <c r="M67" s="716">
        <v>43205</v>
      </c>
      <c r="N67" s="718">
        <v>171356.77415599301</v>
      </c>
      <c r="O67" s="717">
        <v>415073.5573827557</v>
      </c>
      <c r="P67" s="718">
        <v>20686</v>
      </c>
      <c r="Q67" s="718">
        <v>97946.36933927015</v>
      </c>
      <c r="R67" s="718">
        <v>488483.9621994785</v>
      </c>
      <c r="S67" s="716">
        <v>5904</v>
      </c>
      <c r="T67" s="718">
        <v>34570.01386416642</v>
      </c>
      <c r="U67" s="717">
        <v>551860.3176745822</v>
      </c>
      <c r="V67" s="718">
        <v>1885</v>
      </c>
      <c r="W67" s="718">
        <v>12946.242010319189</v>
      </c>
      <c r="X67" s="718">
        <v>573484.0895284296</v>
      </c>
      <c r="Y67" s="716">
        <v>685</v>
      </c>
      <c r="Z67" s="718">
        <v>5333.540239520366</v>
      </c>
      <c r="AA67" s="717">
        <v>581096.7912992283</v>
      </c>
      <c r="AB67" s="718">
        <v>200</v>
      </c>
      <c r="AC67" s="718">
        <v>1794.4249446909441</v>
      </c>
      <c r="AD67" s="718">
        <v>584635.9065940578</v>
      </c>
      <c r="AE67" s="716">
        <v>63</v>
      </c>
      <c r="AF67" s="718">
        <v>643.4674114889204</v>
      </c>
      <c r="AG67" s="717">
        <v>585786.8641272598</v>
      </c>
      <c r="AH67" s="716">
        <v>30</v>
      </c>
      <c r="AI67" s="718">
        <v>333.7455163113299</v>
      </c>
      <c r="AJ67" s="717">
        <v>586096.5860224373</v>
      </c>
    </row>
    <row r="68" spans="1:36" ht="12.75">
      <c r="A68" s="715">
        <v>33</v>
      </c>
      <c r="B68" s="716">
        <v>98</v>
      </c>
      <c r="C68" s="717">
        <v>3884.5057335393844</v>
      </c>
      <c r="D68" s="716">
        <v>0</v>
      </c>
      <c r="E68" s="718">
        <v>0</v>
      </c>
      <c r="F68" s="717">
        <v>587178.7750188846</v>
      </c>
      <c r="G68" s="716">
        <v>279409</v>
      </c>
      <c r="H68" s="718">
        <v>587178.7750188758</v>
      </c>
      <c r="I68" s="717">
        <v>8.731149137020111E-09</v>
      </c>
      <c r="J68" s="718">
        <v>178565</v>
      </c>
      <c r="K68" s="718">
        <v>472144.6833297155</v>
      </c>
      <c r="L68" s="718">
        <v>115034.09168916906</v>
      </c>
      <c r="M68" s="716">
        <v>43335</v>
      </c>
      <c r="N68" s="718">
        <v>172039.68216431423</v>
      </c>
      <c r="O68" s="717">
        <v>415139.09285457036</v>
      </c>
      <c r="P68" s="718">
        <v>20790</v>
      </c>
      <c r="Q68" s="718">
        <v>98541.9520071793</v>
      </c>
      <c r="R68" s="718">
        <v>488636.8230117053</v>
      </c>
      <c r="S68" s="716">
        <v>5972</v>
      </c>
      <c r="T68" s="718">
        <v>35006.00160365339</v>
      </c>
      <c r="U68" s="717">
        <v>552172.7734152311</v>
      </c>
      <c r="V68" s="718">
        <v>1916</v>
      </c>
      <c r="W68" s="718">
        <v>13171.526725033309</v>
      </c>
      <c r="X68" s="718">
        <v>574007.2482938513</v>
      </c>
      <c r="Y68" s="716">
        <v>702</v>
      </c>
      <c r="Z68" s="718">
        <v>5470.523188198303</v>
      </c>
      <c r="AA68" s="717">
        <v>581708.2518306862</v>
      </c>
      <c r="AB68" s="718">
        <v>207</v>
      </c>
      <c r="AC68" s="718">
        <v>1860.3250103708208</v>
      </c>
      <c r="AD68" s="718">
        <v>585318.4500085138</v>
      </c>
      <c r="AE68" s="716">
        <v>67</v>
      </c>
      <c r="AF68" s="718">
        <v>684.1117796467772</v>
      </c>
      <c r="AG68" s="717">
        <v>586494.6632392377</v>
      </c>
      <c r="AH68" s="716">
        <v>32</v>
      </c>
      <c r="AI68" s="718">
        <v>355.46807142358296</v>
      </c>
      <c r="AJ68" s="717">
        <v>586823.306947461</v>
      </c>
    </row>
    <row r="69" spans="1:36" ht="12.75">
      <c r="A69" s="715">
        <v>34</v>
      </c>
      <c r="B69" s="716">
        <v>84</v>
      </c>
      <c r="C69" s="717">
        <v>3417.3207886029522</v>
      </c>
      <c r="D69" s="716">
        <v>0</v>
      </c>
      <c r="E69" s="718">
        <v>0</v>
      </c>
      <c r="F69" s="717">
        <v>587645.959963821</v>
      </c>
      <c r="G69" s="716">
        <v>279501</v>
      </c>
      <c r="H69" s="718">
        <v>587645.9599638135</v>
      </c>
      <c r="I69" s="717">
        <v>7.450580596923828E-09</v>
      </c>
      <c r="J69" s="718">
        <v>178650</v>
      </c>
      <c r="K69" s="718">
        <v>472602.11163614</v>
      </c>
      <c r="L69" s="718">
        <v>115043.84832768101</v>
      </c>
      <c r="M69" s="716">
        <v>43408</v>
      </c>
      <c r="N69" s="718">
        <v>172464.3098744194</v>
      </c>
      <c r="O69" s="717">
        <v>415181.6500894016</v>
      </c>
      <c r="P69" s="718">
        <v>20857</v>
      </c>
      <c r="Q69" s="718">
        <v>98946.49215132614</v>
      </c>
      <c r="R69" s="718">
        <v>488699.46781249484</v>
      </c>
      <c r="S69" s="716">
        <v>6025</v>
      </c>
      <c r="T69" s="718">
        <v>35350.51127083259</v>
      </c>
      <c r="U69" s="717">
        <v>552295.4486929884</v>
      </c>
      <c r="V69" s="718">
        <v>1942</v>
      </c>
      <c r="W69" s="718">
        <v>13366.220536052364</v>
      </c>
      <c r="X69" s="718">
        <v>574279.7394277686</v>
      </c>
      <c r="Y69" s="716">
        <v>719</v>
      </c>
      <c r="Z69" s="718">
        <v>5608.822909733227</v>
      </c>
      <c r="AA69" s="717">
        <v>582037.1370540877</v>
      </c>
      <c r="AB69" s="718">
        <v>212</v>
      </c>
      <c r="AC69" s="718">
        <v>1909.5884015371585</v>
      </c>
      <c r="AD69" s="718">
        <v>585736.3715622838</v>
      </c>
      <c r="AE69" s="716">
        <v>70</v>
      </c>
      <c r="AF69" s="718">
        <v>716.138397462467</v>
      </c>
      <c r="AG69" s="717">
        <v>586929.8215663586</v>
      </c>
      <c r="AH69" s="716">
        <v>34</v>
      </c>
      <c r="AI69" s="718">
        <v>377.51090118783173</v>
      </c>
      <c r="AJ69" s="717">
        <v>587268.4490626332</v>
      </c>
    </row>
    <row r="70" spans="1:36" ht="12.75">
      <c r="A70" s="715">
        <v>35</v>
      </c>
      <c r="B70" s="716">
        <v>68</v>
      </c>
      <c r="C70" s="717">
        <v>2866.633840519813</v>
      </c>
      <c r="D70" s="716">
        <v>0</v>
      </c>
      <c r="E70" s="718">
        <v>0</v>
      </c>
      <c r="F70" s="717">
        <v>588196.6469119041</v>
      </c>
      <c r="G70" s="716">
        <v>279608</v>
      </c>
      <c r="H70" s="718">
        <v>588196.6469118992</v>
      </c>
      <c r="I70" s="717">
        <v>4.889443516731262E-09</v>
      </c>
      <c r="J70" s="718">
        <v>178752</v>
      </c>
      <c r="K70" s="718">
        <v>473145.92821758304</v>
      </c>
      <c r="L70" s="718">
        <v>115050.71869432105</v>
      </c>
      <c r="M70" s="716">
        <v>43501</v>
      </c>
      <c r="N70" s="718">
        <v>172984.94704027136</v>
      </c>
      <c r="O70" s="717">
        <v>415211.69987163274</v>
      </c>
      <c r="P70" s="718">
        <v>20932</v>
      </c>
      <c r="Q70" s="718">
        <v>99407.79589468341</v>
      </c>
      <c r="R70" s="718">
        <v>488788.8510172207</v>
      </c>
      <c r="S70" s="716">
        <v>6079</v>
      </c>
      <c r="T70" s="718">
        <v>35719.14096731496</v>
      </c>
      <c r="U70" s="717">
        <v>552477.5059445892</v>
      </c>
      <c r="V70" s="718">
        <v>1977</v>
      </c>
      <c r="W70" s="718">
        <v>13631.363676343677</v>
      </c>
      <c r="X70" s="718">
        <v>574565.2832355604</v>
      </c>
      <c r="Y70" s="716">
        <v>744</v>
      </c>
      <c r="Z70" s="718">
        <v>5809.856695393484</v>
      </c>
      <c r="AA70" s="717">
        <v>582386.7902165106</v>
      </c>
      <c r="AB70" s="718">
        <v>221</v>
      </c>
      <c r="AC70" s="718">
        <v>1994.190821590957</v>
      </c>
      <c r="AD70" s="718">
        <v>586202.4560903131</v>
      </c>
      <c r="AE70" s="716">
        <v>76</v>
      </c>
      <c r="AF70" s="718">
        <v>775.672169502436</v>
      </c>
      <c r="AG70" s="717">
        <v>587420.9747424016</v>
      </c>
      <c r="AH70" s="716">
        <v>37</v>
      </c>
      <c r="AI70" s="718">
        <v>409.0893055500787</v>
      </c>
      <c r="AJ70" s="717">
        <v>587787.557606354</v>
      </c>
    </row>
    <row r="71" spans="1:36" ht="12.75">
      <c r="A71" s="715">
        <v>36</v>
      </c>
      <c r="B71" s="716">
        <v>56</v>
      </c>
      <c r="C71" s="717">
        <v>2442.3660877020197</v>
      </c>
      <c r="D71" s="716">
        <v>0</v>
      </c>
      <c r="E71" s="718">
        <v>0</v>
      </c>
      <c r="F71" s="717">
        <v>588620.9146647217</v>
      </c>
      <c r="G71" s="716">
        <v>279690</v>
      </c>
      <c r="H71" s="718">
        <v>588620.9146647175</v>
      </c>
      <c r="I71" s="717">
        <v>4.190951585769653E-09</v>
      </c>
      <c r="J71" s="718">
        <v>178830</v>
      </c>
      <c r="K71" s="718">
        <v>473564.66266659304</v>
      </c>
      <c r="L71" s="718">
        <v>115056.25199812866</v>
      </c>
      <c r="M71" s="716">
        <v>43567</v>
      </c>
      <c r="N71" s="718">
        <v>173375.56108814478</v>
      </c>
      <c r="O71" s="717">
        <v>415245.3535765769</v>
      </c>
      <c r="P71" s="718">
        <v>20992</v>
      </c>
      <c r="Q71" s="718">
        <v>99777.23662729484</v>
      </c>
      <c r="R71" s="718">
        <v>488843.67803742684</v>
      </c>
      <c r="S71" s="716">
        <v>6123</v>
      </c>
      <c r="T71" s="718">
        <v>36019.52886731365</v>
      </c>
      <c r="U71" s="717">
        <v>552601.3857974081</v>
      </c>
      <c r="V71" s="718">
        <v>2008</v>
      </c>
      <c r="W71" s="718">
        <v>13860.497169491691</v>
      </c>
      <c r="X71" s="718">
        <v>574760.41749523</v>
      </c>
      <c r="Y71" s="716">
        <v>764</v>
      </c>
      <c r="Z71" s="718">
        <v>5970.488213607644</v>
      </c>
      <c r="AA71" s="717">
        <v>582650.426451114</v>
      </c>
      <c r="AB71" s="718">
        <v>231</v>
      </c>
      <c r="AC71" s="718">
        <v>2081.4429169259747</v>
      </c>
      <c r="AD71" s="718">
        <v>586539.4717477957</v>
      </c>
      <c r="AE71" s="716">
        <v>79</v>
      </c>
      <c r="AF71" s="718">
        <v>804.5559537265656</v>
      </c>
      <c r="AG71" s="717">
        <v>587816.3587109952</v>
      </c>
      <c r="AH71" s="716">
        <v>38</v>
      </c>
      <c r="AI71" s="718">
        <v>419.26320343562264</v>
      </c>
      <c r="AJ71" s="717">
        <v>588201.6514612861</v>
      </c>
    </row>
    <row r="72" spans="1:36" ht="12.75">
      <c r="A72" s="715">
        <v>37</v>
      </c>
      <c r="B72" s="716">
        <v>45</v>
      </c>
      <c r="C72" s="717">
        <v>2041.48841498676</v>
      </c>
      <c r="D72" s="716">
        <v>0</v>
      </c>
      <c r="E72" s="718">
        <v>0</v>
      </c>
      <c r="F72" s="717">
        <v>589021.7923374369</v>
      </c>
      <c r="G72" s="716">
        <v>279764</v>
      </c>
      <c r="H72" s="718">
        <v>589021.7923374345</v>
      </c>
      <c r="I72" s="717">
        <v>2.444721758365631E-09</v>
      </c>
      <c r="J72" s="718">
        <v>178902</v>
      </c>
      <c r="K72" s="718">
        <v>473963.0302146185</v>
      </c>
      <c r="L72" s="718">
        <v>115058.76212281844</v>
      </c>
      <c r="M72" s="716">
        <v>43628</v>
      </c>
      <c r="N72" s="718">
        <v>173749.59479723976</v>
      </c>
      <c r="O72" s="717">
        <v>415272.1975401972</v>
      </c>
      <c r="P72" s="718">
        <v>21045</v>
      </c>
      <c r="Q72" s="718">
        <v>100123.32253461427</v>
      </c>
      <c r="R72" s="718">
        <v>488898.4698028227</v>
      </c>
      <c r="S72" s="716">
        <v>6165</v>
      </c>
      <c r="T72" s="718">
        <v>36315.42800048647</v>
      </c>
      <c r="U72" s="717">
        <v>552706.3643369505</v>
      </c>
      <c r="V72" s="718">
        <v>2036</v>
      </c>
      <c r="W72" s="718">
        <v>14079.618128341788</v>
      </c>
      <c r="X72" s="718">
        <v>574942.1742090952</v>
      </c>
      <c r="Y72" s="716">
        <v>783</v>
      </c>
      <c r="Z72" s="718">
        <v>6130.483707059156</v>
      </c>
      <c r="AA72" s="717">
        <v>582891.3086303778</v>
      </c>
      <c r="AB72" s="718">
        <v>242</v>
      </c>
      <c r="AC72" s="718">
        <v>2183.188453760344</v>
      </c>
      <c r="AD72" s="718">
        <v>586838.6038836766</v>
      </c>
      <c r="AE72" s="716">
        <v>82</v>
      </c>
      <c r="AF72" s="718">
        <v>839.7498215314508</v>
      </c>
      <c r="AG72" s="717">
        <v>588182.0425159055</v>
      </c>
      <c r="AH72" s="716">
        <v>41</v>
      </c>
      <c r="AI72" s="718">
        <v>454.45707124050784</v>
      </c>
      <c r="AJ72" s="717">
        <v>588567.3352661964</v>
      </c>
    </row>
    <row r="73" spans="1:36" ht="12.75">
      <c r="A73" s="715">
        <v>38</v>
      </c>
      <c r="B73" s="716">
        <v>36</v>
      </c>
      <c r="C73" s="717">
        <v>1705.5807668321183</v>
      </c>
      <c r="D73" s="716">
        <v>0</v>
      </c>
      <c r="E73" s="718">
        <v>0</v>
      </c>
      <c r="F73" s="717">
        <v>589357.6999855916</v>
      </c>
      <c r="G73" s="716">
        <v>279824</v>
      </c>
      <c r="H73" s="718">
        <v>589357.6999855901</v>
      </c>
      <c r="I73" s="717">
        <v>1.5133991837501526E-09</v>
      </c>
      <c r="J73" s="718">
        <v>178962</v>
      </c>
      <c r="K73" s="718">
        <v>474298.937862773</v>
      </c>
      <c r="L73" s="718">
        <v>115058.76212281856</v>
      </c>
      <c r="M73" s="716">
        <v>43684</v>
      </c>
      <c r="N73" s="718">
        <v>174075.54417102167</v>
      </c>
      <c r="O73" s="717">
        <v>415282.1558145699</v>
      </c>
      <c r="P73" s="718">
        <v>21092</v>
      </c>
      <c r="Q73" s="718">
        <v>100419.82757498657</v>
      </c>
      <c r="R73" s="718">
        <v>488937.872410605</v>
      </c>
      <c r="S73" s="716">
        <v>6200</v>
      </c>
      <c r="T73" s="718">
        <v>36560.165171925546</v>
      </c>
      <c r="U73" s="717">
        <v>552797.534813666</v>
      </c>
      <c r="V73" s="718">
        <v>2061</v>
      </c>
      <c r="W73" s="718">
        <v>14269.884834180453</v>
      </c>
      <c r="X73" s="718">
        <v>575087.8151514111</v>
      </c>
      <c r="Y73" s="716">
        <v>798</v>
      </c>
      <c r="Z73" s="718">
        <v>6257.686228242647</v>
      </c>
      <c r="AA73" s="717">
        <v>583100.0137573489</v>
      </c>
      <c r="AB73" s="718">
        <v>251</v>
      </c>
      <c r="AC73" s="718">
        <v>2266.7820965442024</v>
      </c>
      <c r="AD73" s="718">
        <v>587090.9178890474</v>
      </c>
      <c r="AE73" s="716">
        <v>87</v>
      </c>
      <c r="AF73" s="718">
        <v>889.1064522617669</v>
      </c>
      <c r="AG73" s="717">
        <v>588468.5935333298</v>
      </c>
      <c r="AH73" s="716">
        <v>44</v>
      </c>
      <c r="AI73" s="718">
        <v>485.24121828412507</v>
      </c>
      <c r="AJ73" s="717">
        <v>588872.4587673075</v>
      </c>
    </row>
    <row r="74" spans="1:36" ht="16.5" customHeight="1">
      <c r="A74" s="715">
        <v>39</v>
      </c>
      <c r="B74" s="716">
        <v>29</v>
      </c>
      <c r="C74" s="717">
        <v>1436.2994416255285</v>
      </c>
      <c r="D74" s="716">
        <v>0</v>
      </c>
      <c r="E74" s="718">
        <v>0</v>
      </c>
      <c r="F74" s="717">
        <v>589626.9813107982</v>
      </c>
      <c r="G74" s="716">
        <v>279870</v>
      </c>
      <c r="H74" s="718">
        <v>589626.9813107972</v>
      </c>
      <c r="I74" s="717">
        <v>1.0477378964424133E-09</v>
      </c>
      <c r="J74" s="718">
        <v>179006</v>
      </c>
      <c r="K74" s="718">
        <v>474565.5927121395</v>
      </c>
      <c r="L74" s="718">
        <v>115061.38859865873</v>
      </c>
      <c r="M74" s="716">
        <v>43727</v>
      </c>
      <c r="N74" s="718">
        <v>174340.02595853148</v>
      </c>
      <c r="O74" s="717">
        <v>415286.9553522667</v>
      </c>
      <c r="P74" s="718">
        <v>21132</v>
      </c>
      <c r="Q74" s="718">
        <v>100674.16252752802</v>
      </c>
      <c r="R74" s="718">
        <v>488952.8187832702</v>
      </c>
      <c r="S74" s="716">
        <v>6231</v>
      </c>
      <c r="T74" s="718">
        <v>36774.86805674799</v>
      </c>
      <c r="U74" s="717">
        <v>552852.1132540503</v>
      </c>
      <c r="V74" s="718">
        <v>2082</v>
      </c>
      <c r="W74" s="718">
        <v>14428.74592442253</v>
      </c>
      <c r="X74" s="718">
        <v>575198.2353863757</v>
      </c>
      <c r="Y74" s="716">
        <v>811</v>
      </c>
      <c r="Z74" s="718">
        <v>6363.949592236232</v>
      </c>
      <c r="AA74" s="717">
        <v>583263.031718562</v>
      </c>
      <c r="AB74" s="718">
        <v>255</v>
      </c>
      <c r="AC74" s="718">
        <v>2307.9861945742114</v>
      </c>
      <c r="AD74" s="718">
        <v>587318.995116224</v>
      </c>
      <c r="AE74" s="716">
        <v>90</v>
      </c>
      <c r="AF74" s="718">
        <v>922.0514674704596</v>
      </c>
      <c r="AG74" s="717">
        <v>588704.9298433277</v>
      </c>
      <c r="AH74" s="716">
        <v>46</v>
      </c>
      <c r="AI74" s="718">
        <v>508.2024454413765</v>
      </c>
      <c r="AJ74" s="717">
        <v>589118.7788653568</v>
      </c>
    </row>
    <row r="75" spans="1:36" ht="16.5" customHeight="1">
      <c r="A75" s="719">
        <v>40</v>
      </c>
      <c r="B75" s="720">
        <v>25</v>
      </c>
      <c r="C75" s="721">
        <v>1278.966091219513</v>
      </c>
      <c r="D75" s="720">
        <v>0</v>
      </c>
      <c r="E75" s="722">
        <v>0</v>
      </c>
      <c r="F75" s="721">
        <v>589784.3146612041</v>
      </c>
      <c r="G75" s="720">
        <v>279896</v>
      </c>
      <c r="H75" s="722">
        <v>589784.3146612034</v>
      </c>
      <c r="I75" s="721">
        <v>0</v>
      </c>
      <c r="J75" s="722">
        <v>179032</v>
      </c>
      <c r="K75" s="722">
        <v>474722.9260625453</v>
      </c>
      <c r="L75" s="722">
        <v>115061.38859865884</v>
      </c>
      <c r="M75" s="720">
        <v>43751</v>
      </c>
      <c r="N75" s="722">
        <v>174493.25084510905</v>
      </c>
      <c r="O75" s="721">
        <v>415291.06381609506</v>
      </c>
      <c r="P75" s="722">
        <v>21154</v>
      </c>
      <c r="Q75" s="722">
        <v>100819.91375074325</v>
      </c>
      <c r="R75" s="722">
        <v>488964.40091046086</v>
      </c>
      <c r="S75" s="720">
        <v>6251</v>
      </c>
      <c r="T75" s="722">
        <v>36912.015116400726</v>
      </c>
      <c r="U75" s="721">
        <v>552872.2995448033</v>
      </c>
      <c r="V75" s="722">
        <v>2096</v>
      </c>
      <c r="W75" s="722">
        <v>14533.456352107827</v>
      </c>
      <c r="X75" s="722">
        <v>575250.8583090963</v>
      </c>
      <c r="Y75" s="720">
        <v>819</v>
      </c>
      <c r="Z75" s="722">
        <v>6430.745503263695</v>
      </c>
      <c r="AA75" s="721">
        <v>583353.5691579405</v>
      </c>
      <c r="AB75" s="722">
        <v>259</v>
      </c>
      <c r="AC75" s="722">
        <v>2345.703278443185</v>
      </c>
      <c r="AD75" s="722">
        <v>587438.6113827609</v>
      </c>
      <c r="AE75" s="720">
        <v>91</v>
      </c>
      <c r="AF75" s="722">
        <v>934.7354900452675</v>
      </c>
      <c r="AG75" s="721">
        <v>588849.5791711588</v>
      </c>
      <c r="AH75" s="720">
        <v>47</v>
      </c>
      <c r="AI75" s="722">
        <v>520.8864680161845</v>
      </c>
      <c r="AJ75" s="721">
        <v>589263.4281931879</v>
      </c>
    </row>
    <row r="76" spans="1:36" ht="12.75">
      <c r="A76" s="719" t="s">
        <v>345</v>
      </c>
      <c r="B76" s="720">
        <v>0</v>
      </c>
      <c r="C76" s="721">
        <v>0</v>
      </c>
      <c r="D76" s="720">
        <v>0</v>
      </c>
      <c r="E76" s="722">
        <v>0</v>
      </c>
      <c r="F76" s="721">
        <v>591063.2807524243</v>
      </c>
      <c r="G76" s="720">
        <v>280070</v>
      </c>
      <c r="H76" s="722">
        <v>591063.2807524243</v>
      </c>
      <c r="I76" s="721">
        <v>0</v>
      </c>
      <c r="J76" s="722">
        <v>179204</v>
      </c>
      <c r="K76" s="722">
        <v>475998.98532579624</v>
      </c>
      <c r="L76" s="722">
        <v>115064.29542662803</v>
      </c>
      <c r="M76" s="720">
        <v>43917</v>
      </c>
      <c r="N76" s="722">
        <v>175755.56280663592</v>
      </c>
      <c r="O76" s="721">
        <v>415307.71794578835</v>
      </c>
      <c r="P76" s="722">
        <v>21313</v>
      </c>
      <c r="Q76" s="722">
        <v>102059.22280503144</v>
      </c>
      <c r="R76" s="722">
        <v>489004.0579473928</v>
      </c>
      <c r="S76" s="720">
        <v>6392</v>
      </c>
      <c r="T76" s="722">
        <v>38074.303915604105</v>
      </c>
      <c r="U76" s="721">
        <v>552988.9768368201</v>
      </c>
      <c r="V76" s="722">
        <v>2215</v>
      </c>
      <c r="W76" s="722">
        <v>15571.843874123817</v>
      </c>
      <c r="X76" s="722">
        <v>575491.4368783005</v>
      </c>
      <c r="Y76" s="720">
        <v>906</v>
      </c>
      <c r="Z76" s="722">
        <v>7265.04985070942</v>
      </c>
      <c r="AA76" s="721">
        <v>583798.2309017149</v>
      </c>
      <c r="AB76" s="722">
        <v>320</v>
      </c>
      <c r="AC76" s="722">
        <v>2991.8120336322977</v>
      </c>
      <c r="AD76" s="722">
        <v>588071.468718792</v>
      </c>
      <c r="AE76" s="720">
        <v>135</v>
      </c>
      <c r="AF76" s="722">
        <v>1438.2466191039366</v>
      </c>
      <c r="AG76" s="721">
        <v>589625.0341333203</v>
      </c>
      <c r="AH76" s="720">
        <v>75</v>
      </c>
      <c r="AI76" s="722">
        <v>874.4156843562087</v>
      </c>
      <c r="AJ76" s="721">
        <v>590188.865068068</v>
      </c>
    </row>
    <row r="77" spans="1:18" ht="14.25">
      <c r="A77" s="66"/>
      <c r="B77" s="67"/>
      <c r="C77" s="67"/>
      <c r="D77" s="67"/>
      <c r="E77" s="67"/>
      <c r="F77" s="67"/>
      <c r="G77" s="67"/>
      <c r="H77" s="67"/>
      <c r="I77" s="67"/>
      <c r="J77" s="110"/>
      <c r="K77" s="67"/>
      <c r="L77" s="67"/>
      <c r="M77" s="67"/>
      <c r="N77" s="67"/>
      <c r="O77" s="67"/>
      <c r="P77" s="67"/>
      <c r="Q77" s="67"/>
      <c r="R77" s="67"/>
    </row>
    <row r="78" spans="1:18" ht="14.25">
      <c r="A78" s="66"/>
      <c r="B78" s="67"/>
      <c r="C78" s="67"/>
      <c r="D78" s="67"/>
      <c r="E78" s="67"/>
      <c r="F78" s="67"/>
      <c r="G78" s="67"/>
      <c r="H78" s="67"/>
      <c r="I78" s="67"/>
      <c r="J78" s="110"/>
      <c r="K78" s="67"/>
      <c r="L78" s="67"/>
      <c r="M78" s="67"/>
      <c r="N78" s="67"/>
      <c r="O78" s="67"/>
      <c r="P78" s="67"/>
      <c r="Q78" s="67"/>
      <c r="R78" s="67"/>
    </row>
    <row r="79" spans="1:18" ht="14.25">
      <c r="A79" s="66"/>
      <c r="B79" s="67"/>
      <c r="C79" s="67"/>
      <c r="D79" s="67"/>
      <c r="E79" s="67"/>
      <c r="F79" s="67"/>
      <c r="G79" s="67"/>
      <c r="H79" s="67"/>
      <c r="I79" s="67"/>
      <c r="J79" s="110"/>
      <c r="K79" s="67"/>
      <c r="L79" s="67"/>
      <c r="M79" s="67"/>
      <c r="N79" s="67"/>
      <c r="O79" s="67"/>
      <c r="P79" s="67"/>
      <c r="Q79" s="67"/>
      <c r="R79" s="67"/>
    </row>
    <row r="80" spans="1:18" ht="14.25">
      <c r="A80" s="66"/>
      <c r="B80" s="67"/>
      <c r="C80" s="67"/>
      <c r="D80" s="67"/>
      <c r="E80" s="67"/>
      <c r="F80" s="67"/>
      <c r="G80" s="67"/>
      <c r="H80" s="67"/>
      <c r="I80" s="67"/>
      <c r="J80" s="67"/>
      <c r="K80" s="67"/>
      <c r="L80" s="67"/>
      <c r="M80" s="67"/>
      <c r="N80" s="67"/>
      <c r="O80" s="67"/>
      <c r="P80" s="67"/>
      <c r="Q80" s="67"/>
      <c r="R80" s="67"/>
    </row>
    <row r="81" spans="1:18" ht="14.25">
      <c r="A81" s="66"/>
      <c r="B81" s="67"/>
      <c r="C81" s="67"/>
      <c r="D81" s="67"/>
      <c r="E81" s="67"/>
      <c r="F81" s="67"/>
      <c r="G81" s="67"/>
      <c r="H81" s="67"/>
      <c r="I81" s="67"/>
      <c r="J81" s="67"/>
      <c r="K81" s="67"/>
      <c r="L81" s="67"/>
      <c r="M81" s="67"/>
      <c r="N81" s="67"/>
      <c r="O81" s="67"/>
      <c r="P81" s="67"/>
      <c r="Q81" s="67"/>
      <c r="R81" s="67"/>
    </row>
    <row r="82" spans="1:18" ht="14.25">
      <c r="A82" s="66"/>
      <c r="B82" s="67"/>
      <c r="C82" s="67"/>
      <c r="D82" s="67"/>
      <c r="E82" s="67"/>
      <c r="F82" s="67"/>
      <c r="G82" s="67"/>
      <c r="H82" s="67"/>
      <c r="I82" s="67"/>
      <c r="J82" s="67"/>
      <c r="K82" s="67"/>
      <c r="L82" s="67"/>
      <c r="M82" s="67"/>
      <c r="N82" s="67"/>
      <c r="O82" s="67"/>
      <c r="P82" s="67"/>
      <c r="Q82" s="67"/>
      <c r="R82" s="67"/>
    </row>
    <row r="83" spans="1:18" ht="14.25">
      <c r="A83" s="66"/>
      <c r="B83" s="67"/>
      <c r="C83" s="67"/>
      <c r="D83" s="67"/>
      <c r="E83" s="67"/>
      <c r="F83" s="67"/>
      <c r="G83" s="67"/>
      <c r="H83" s="67"/>
      <c r="I83" s="67"/>
      <c r="J83" s="67"/>
      <c r="K83" s="67"/>
      <c r="L83" s="67"/>
      <c r="M83" s="67"/>
      <c r="N83" s="67"/>
      <c r="O83" s="67"/>
      <c r="P83" s="67"/>
      <c r="Q83" s="67"/>
      <c r="R83" s="67"/>
    </row>
    <row r="84" spans="1:18" ht="14.25">
      <c r="A84" s="66"/>
      <c r="B84" s="67"/>
      <c r="C84" s="67"/>
      <c r="D84" s="67"/>
      <c r="E84" s="67"/>
      <c r="F84" s="67"/>
      <c r="G84" s="67"/>
      <c r="H84" s="67"/>
      <c r="I84" s="67"/>
      <c r="J84" s="67"/>
      <c r="K84" s="67"/>
      <c r="L84" s="67"/>
      <c r="M84" s="67"/>
      <c r="N84" s="67"/>
      <c r="O84" s="67"/>
      <c r="P84" s="67"/>
      <c r="Q84" s="67"/>
      <c r="R84" s="67"/>
    </row>
    <row r="85" spans="1:18" ht="14.25">
      <c r="A85" s="66"/>
      <c r="B85" s="67"/>
      <c r="C85" s="67"/>
      <c r="D85" s="67"/>
      <c r="E85" s="67"/>
      <c r="F85" s="67"/>
      <c r="G85" s="67"/>
      <c r="H85" s="67"/>
      <c r="I85" s="67"/>
      <c r="J85" s="67"/>
      <c r="K85" s="67"/>
      <c r="L85" s="67"/>
      <c r="M85" s="67"/>
      <c r="N85" s="67"/>
      <c r="O85" s="67"/>
      <c r="P85" s="67"/>
      <c r="Q85" s="67"/>
      <c r="R85" s="67"/>
    </row>
    <row r="86" spans="1:18" ht="14.25">
      <c r="A86" s="66"/>
      <c r="B86" s="67"/>
      <c r="C86" s="67"/>
      <c r="D86" s="67"/>
      <c r="E86" s="67"/>
      <c r="F86" s="67"/>
      <c r="G86" s="67"/>
      <c r="H86" s="67"/>
      <c r="I86" s="67"/>
      <c r="J86" s="67"/>
      <c r="K86" s="67"/>
      <c r="L86" s="67"/>
      <c r="M86" s="67"/>
      <c r="N86" s="67"/>
      <c r="O86" s="67"/>
      <c r="P86" s="67"/>
      <c r="Q86" s="67"/>
      <c r="R86" s="67"/>
    </row>
    <row r="87" spans="1:18" ht="14.25">
      <c r="A87" s="66"/>
      <c r="B87" s="67"/>
      <c r="C87" s="67"/>
      <c r="D87" s="67"/>
      <c r="E87" s="67"/>
      <c r="F87" s="67"/>
      <c r="G87" s="67"/>
      <c r="H87" s="67"/>
      <c r="I87" s="67"/>
      <c r="J87" s="67"/>
      <c r="K87" s="67"/>
      <c r="L87" s="67"/>
      <c r="M87" s="67"/>
      <c r="N87" s="67"/>
      <c r="O87" s="67"/>
      <c r="P87" s="67"/>
      <c r="Q87" s="67"/>
      <c r="R87" s="67"/>
    </row>
    <row r="88" spans="1:18" ht="14.25">
      <c r="A88" s="66"/>
      <c r="B88" s="67"/>
      <c r="C88" s="67"/>
      <c r="D88" s="67"/>
      <c r="E88" s="67"/>
      <c r="F88" s="67"/>
      <c r="G88" s="67"/>
      <c r="H88" s="67"/>
      <c r="I88" s="67"/>
      <c r="J88" s="67"/>
      <c r="K88" s="67"/>
      <c r="L88" s="67"/>
      <c r="M88" s="67"/>
      <c r="N88" s="67"/>
      <c r="O88" s="67"/>
      <c r="P88" s="67"/>
      <c r="Q88" s="67"/>
      <c r="R88" s="67"/>
    </row>
    <row r="89" spans="1:18" ht="14.25">
      <c r="A89" s="66"/>
      <c r="B89" s="67"/>
      <c r="C89" s="67"/>
      <c r="D89" s="67"/>
      <c r="E89" s="67"/>
      <c r="F89" s="67"/>
      <c r="G89" s="67"/>
      <c r="H89" s="67"/>
      <c r="I89" s="67"/>
      <c r="J89" s="67"/>
      <c r="K89" s="67"/>
      <c r="L89" s="67"/>
      <c r="M89" s="67"/>
      <c r="N89" s="67"/>
      <c r="O89" s="67"/>
      <c r="P89" s="67"/>
      <c r="Q89" s="67"/>
      <c r="R89" s="67"/>
    </row>
    <row r="90" spans="1:18" ht="14.25">
      <c r="A90" s="66"/>
      <c r="B90" s="67"/>
      <c r="C90" s="67"/>
      <c r="D90" s="67"/>
      <c r="E90" s="67"/>
      <c r="F90" s="67"/>
      <c r="G90" s="67"/>
      <c r="H90" s="67"/>
      <c r="I90" s="67"/>
      <c r="J90" s="67"/>
      <c r="K90" s="67"/>
      <c r="L90" s="67"/>
      <c r="M90" s="67"/>
      <c r="N90" s="67"/>
      <c r="O90" s="67"/>
      <c r="P90" s="67"/>
      <c r="Q90" s="67"/>
      <c r="R90" s="67"/>
    </row>
    <row r="91" spans="1:18" ht="14.25">
      <c r="A91" s="66"/>
      <c r="B91" s="67"/>
      <c r="C91" s="67"/>
      <c r="D91" s="67"/>
      <c r="E91" s="67"/>
      <c r="F91" s="67"/>
      <c r="G91" s="67"/>
      <c r="H91" s="67"/>
      <c r="I91" s="67"/>
      <c r="J91" s="67"/>
      <c r="K91" s="67"/>
      <c r="L91" s="67"/>
      <c r="M91" s="67"/>
      <c r="N91" s="67"/>
      <c r="O91" s="67"/>
      <c r="P91" s="67"/>
      <c r="Q91" s="67"/>
      <c r="R91" s="67"/>
    </row>
  </sheetData>
  <sheetProtection/>
  <mergeCells count="38">
    <mergeCell ref="X13:Y13"/>
    <mergeCell ref="W3:W4"/>
    <mergeCell ref="U10:V10"/>
    <mergeCell ref="A32:A34"/>
    <mergeCell ref="B32:C33"/>
    <mergeCell ref="G33:I33"/>
    <mergeCell ref="P33:R33"/>
    <mergeCell ref="U11:V11"/>
    <mergeCell ref="U12:V12"/>
    <mergeCell ref="E14:F14"/>
    <mergeCell ref="AA4:AA6"/>
    <mergeCell ref="U5:V5"/>
    <mergeCell ref="U6:V6"/>
    <mergeCell ref="U9:V9"/>
    <mergeCell ref="U7:V7"/>
    <mergeCell ref="U8:V8"/>
    <mergeCell ref="B12:C12"/>
    <mergeCell ref="D32:F33"/>
    <mergeCell ref="B7:C7"/>
    <mergeCell ref="B8:C8"/>
    <mergeCell ref="B9:C9"/>
    <mergeCell ref="B10:C10"/>
    <mergeCell ref="D3:D4"/>
    <mergeCell ref="H4:H6"/>
    <mergeCell ref="E3:H3"/>
    <mergeCell ref="B5:C5"/>
    <mergeCell ref="B6:C6"/>
    <mergeCell ref="B11:C11"/>
    <mergeCell ref="X3:AA3"/>
    <mergeCell ref="G32:AJ32"/>
    <mergeCell ref="S33:U33"/>
    <mergeCell ref="V33:X33"/>
    <mergeCell ref="Y33:AA33"/>
    <mergeCell ref="AB33:AD33"/>
    <mergeCell ref="AE33:AG33"/>
    <mergeCell ref="AH33:AJ33"/>
    <mergeCell ref="J33:L33"/>
    <mergeCell ref="M33:O33"/>
  </mergeCells>
  <printOptions/>
  <pageMargins left="0.17" right="0.17" top="0.26" bottom="0.2" header="0.2" footer="0.2"/>
  <pageSetup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Calculator 2014-15</dc:title>
  <dc:subject/>
  <dc:creator>Department for Transport</dc:creator>
  <cp:keywords>calculator, 2014, 2015</cp:keywords>
  <dc:description/>
  <cp:lastModifiedBy>Saila Acton</cp:lastModifiedBy>
  <cp:lastPrinted>2011-11-29T10:57:15Z</cp:lastPrinted>
  <dcterms:created xsi:type="dcterms:W3CDTF">2010-04-19T23:48:21Z</dcterms:created>
  <dcterms:modified xsi:type="dcterms:W3CDTF">2015-08-12T09:22:25Z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